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tabRatio="676" firstSheet="4" activeTab="4"/>
  </bookViews>
  <sheets>
    <sheet name="INCOME Y-T-Y" sheetId="1" state="hidden" r:id="rId1"/>
    <sheet name="(11) Balance Sheet-p1 (2-3)" sheetId="2" state="hidden" r:id="rId2"/>
    <sheet name="EXPENSES (p11)" sheetId="3" state="hidden" r:id="rId3"/>
    <sheet name="(9)Equity YTD4" sheetId="4" state="hidden" r:id="rId4"/>
    <sheet name="Balance Sheet-1" sheetId="5" r:id="rId5"/>
    <sheet name="(8)Earned Incurred YTD6" sheetId="6" state="hidden" r:id="rId6"/>
    <sheet name="(7)Premiums YTD8" sheetId="7" state="hidden" r:id="rId7"/>
    <sheet name="Income Statement-2" sheetId="8" r:id="rId8"/>
    <sheet name="Equity QTD-3" sheetId="9" r:id="rId9"/>
    <sheet name="Earned Incurred QTD-4" sheetId="10" r:id="rId10"/>
    <sheet name="Premiums QTD-5" sheetId="11" r:id="rId11"/>
    <sheet name="Losses Incurred QTD-6" sheetId="12" r:id="rId12"/>
    <sheet name="Loss Expenses QTD-7" sheetId="13" r:id="rId13"/>
    <sheet name="(6)Losses Incurred YTD-p1" sheetId="14" state="hidden" r:id="rId14"/>
    <sheet name="(6)Losses Incurred YTD10" sheetId="15" state="hidden" r:id="rId15"/>
    <sheet name="(4)Loss Expenses YTD12" sheetId="16" state="hidden" r:id="rId16"/>
    <sheet name="IBNR JE2" sheetId="17" state="hidden" r:id="rId17"/>
    <sheet name="(1)ULEP-YTD17" sheetId="18" state="hidden" r:id="rId18"/>
    <sheet name="Business Summary" sheetId="19" state="hidden"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Print_Area" localSheetId="17">'(1)ULEP-YTD17'!$A$1:$G$55</definedName>
    <definedName name="_xlnm.Print_Area" localSheetId="1">'(11) Balance Sheet-p1 (2-3)'!$B$1:$I$47</definedName>
    <definedName name="_xlnm.Print_Area" localSheetId="15">'(4)Loss Expenses YTD12'!$A$1:$H$30</definedName>
    <definedName name="_xlnm.Print_Area" localSheetId="14">'(6)Losses Incurred YTD10'!$A$1:$H$38</definedName>
    <definedName name="_xlnm.Print_Area" localSheetId="13">'(6)Losses Incurred YTD-p1'!$A$1:$G$37</definedName>
    <definedName name="_xlnm.Print_Area" localSheetId="6">'(7)Premiums YTD8'!$A$1:$H$39</definedName>
    <definedName name="_xlnm.Print_Area" localSheetId="5">'(8)Earned Incurred YTD6'!$A$1:$D$54</definedName>
    <definedName name="_xlnm.Print_Area" localSheetId="3">'(9)Equity YTD4'!$A$1:$G$62</definedName>
    <definedName name="_xlnm.Print_Area" localSheetId="2">'EXPENSES (p11)'!$A$1:$T$76</definedName>
    <definedName name="_xlnm.Print_Area" localSheetId="16">'IBNR JE2'!$A$1:$E$25</definedName>
  </definedNames>
  <calcPr fullCalcOnLoad="1"/>
</workbook>
</file>

<file path=xl/comments19.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<sst xmlns="http://schemas.openxmlformats.org/spreadsheetml/2006/main" count="914" uniqueCount="493">
  <si>
    <t>Underwriting Loss</t>
  </si>
  <si>
    <t xml:space="preserve"> UNDERWRITING LOSS</t>
  </si>
  <si>
    <t xml:space="preserve"> NET LOSS</t>
  </si>
  <si>
    <t xml:space="preserve">     NET LOSS FOR PERIOD</t>
  </si>
  <si>
    <t>QTD PERIOD ENDED MARCH 31, 2008</t>
  </si>
  <si>
    <t>QTD PERIOD ENDING MARCH 31, 2008</t>
  </si>
  <si>
    <t>CURRENT LOSS EXPENSE RESERVES               @ 03-31-08</t>
  </si>
  <si>
    <t>PRIOR LOSS  EXPENSE RESERVES                     @ 12-31-07</t>
  </si>
  <si>
    <t>POLICY YEAR 2008</t>
  </si>
  <si>
    <t>POLICY YEAR 2004 &amp; PRIOR</t>
  </si>
  <si>
    <t>CURRENT CASE BASIS RESERVES (03-31-08)</t>
  </si>
  <si>
    <t>CURRENT I.B.N.R. RESERVES (03-31-08)</t>
  </si>
  <si>
    <t>PRIOR LOSS RESERVES (12-31-07)</t>
  </si>
  <si>
    <t>CURRENT UNEARNED PREMIUM RESERVE              @ 03-31-08</t>
  </si>
  <si>
    <t>PRIOR UNEARNED PREMIUM RESERVE                     @ 12-31-07</t>
  </si>
  <si>
    <t>03-31-08</t>
  </si>
  <si>
    <t>MARCH 31, 2008</t>
  </si>
  <si>
    <t>AT MARCH 31, 2008</t>
  </si>
  <si>
    <t xml:space="preserve">     NET EQUITY AT MARCH 31, 2008</t>
  </si>
  <si>
    <r>
      <t xml:space="preserve">                                           </t>
    </r>
    <r>
      <rPr>
        <b/>
        <sz val="9"/>
        <rFont val="Century Schoolbook"/>
        <family val="1"/>
      </rPr>
      <t xml:space="preserve">      1Q07</t>
    </r>
    <r>
      <rPr>
        <sz val="9"/>
        <rFont val="Century Schoolbook"/>
        <family val="1"/>
      </rPr>
      <t xml:space="preserve">          373,063</t>
    </r>
  </si>
  <si>
    <r>
      <t xml:space="preserve">                                           </t>
    </r>
    <r>
      <rPr>
        <b/>
        <sz val="9"/>
        <rFont val="Century Schoolbook"/>
        <family val="1"/>
      </rPr>
      <t xml:space="preserve">      2Q07</t>
    </r>
    <r>
      <rPr>
        <sz val="9"/>
        <rFont val="Century Schoolbook"/>
        <family val="1"/>
      </rPr>
      <t xml:space="preserve">          353,077</t>
    </r>
  </si>
  <si>
    <r>
      <t xml:space="preserve">                                           </t>
    </r>
    <r>
      <rPr>
        <b/>
        <sz val="9"/>
        <rFont val="Century Schoolbook"/>
        <family val="1"/>
      </rPr>
      <t xml:space="preserve">      3Q07</t>
    </r>
    <r>
      <rPr>
        <sz val="9"/>
        <rFont val="Century Schoolbook"/>
        <family val="1"/>
      </rPr>
      <t xml:space="preserve">          336,591</t>
    </r>
  </si>
  <si>
    <r>
      <t xml:space="preserve">                                           </t>
    </r>
    <r>
      <rPr>
        <b/>
        <sz val="9"/>
        <rFont val="Century Schoolbook"/>
        <family val="1"/>
      </rPr>
      <t xml:space="preserve">      4Q07</t>
    </r>
    <r>
      <rPr>
        <sz val="9"/>
        <rFont val="Century Schoolbook"/>
        <family val="1"/>
      </rPr>
      <t xml:space="preserve">          321,577</t>
    </r>
  </si>
  <si>
    <t>1Q08</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</si>
  <si>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</si>
  <si>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NET EQUITY AT MARCH 31, 2008</t>
  </si>
  <si>
    <t xml:space="preserve">     CASH &amp; SHORT-TERM INVESTMENTS</t>
  </si>
  <si>
    <t xml:space="preserve">     EDP - EQUIPMENT &amp; SOFTWARE</t>
  </si>
  <si>
    <t>POLICY YEAR 2006</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</si>
  <si>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</si>
  <si>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</si>
  <si>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</si>
  <si>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</si>
  <si>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</si>
  <si>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</si>
  <si>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</si>
  <si>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</si>
  <si>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</si>
  <si>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</si>
  <si>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</si>
  <si>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</si>
  <si>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</si>
  <si>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</si>
  <si>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</si>
  <si>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</si>
  <si>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</si>
  <si>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</si>
  <si>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</si>
  <si>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</si>
  <si>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</si>
  <si>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</si>
  <si>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</si>
  <si>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</si>
  <si>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</si>
  <si>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</si>
  <si>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</si>
  <si>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</si>
  <si>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</si>
  <si>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</si>
  <si>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</si>
  <si>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</si>
  <si>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</si>
  <si>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</si>
  <si>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</si>
  <si>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</si>
  <si>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</si>
  <si>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</si>
  <si>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</si>
  <si>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</si>
  <si>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</si>
  <si>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</si>
  <si>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</si>
  <si>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</si>
  <si>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</si>
  <si>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</si>
  <si>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</si>
  <si>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</si>
  <si>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</si>
  <si>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</si>
  <si>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</si>
  <si>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</si>
  <si>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</si>
  <si>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</si>
  <si>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</si>
  <si>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</si>
  <si>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</si>
  <si>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</si>
  <si>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</si>
  <si>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</si>
  <si>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</si>
  <si>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</si>
  <si>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</si>
  <si>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</si>
  <si>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</si>
  <si>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</si>
  <si>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</si>
  <si>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</si>
  <si>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</si>
  <si>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</si>
  <si>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</si>
  <si>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</si>
  <si>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</si>
  <si>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</si>
  <si>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</si>
  <si>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</si>
  <si>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</si>
  <si>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</si>
  <si>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</si>
  <si>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</si>
  <si>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</si>
  <si>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</si>
  <si>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</si>
  <si>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</si>
  <si>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</si>
  <si>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</si>
  <si>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</si>
  <si>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</si>
  <si>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</si>
  <si>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</si>
  <si>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</si>
  <si>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</si>
  <si>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</si>
  <si>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</si>
  <si>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</si>
  <si>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</si>
  <si>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</si>
  <si>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</si>
  <si>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</si>
  <si>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</si>
  <si>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</si>
  <si>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</si>
  <si>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</si>
  <si>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</si>
  <si>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</si>
  <si>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</si>
  <si>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</si>
  <si>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</si>
  <si>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</si>
  <si>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</si>
  <si>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</si>
  <si>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</si>
  <si>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</si>
  <si>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</si>
  <si>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</si>
  <si>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</si>
  <si>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</si>
  <si>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</si>
  <si>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</si>
  <si>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</si>
  <si>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</si>
  <si>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</si>
  <si>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</si>
  <si>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</si>
  <si>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</si>
  <si>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</si>
  <si>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</si>
  <si>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</si>
  <si>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</si>
  <si>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</si>
  <si>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</si>
  <si>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</si>
  <si>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</si>
  <si>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</si>
  <si>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</si>
  <si>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</si>
  <si>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</si>
  <si>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</si>
  <si>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</si>
  <si>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</si>
  <si>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</si>
  <si>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</si>
  <si>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</si>
  <si>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</si>
  <si>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</si>
  <si>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</si>
  <si>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</si>
  <si>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</si>
  <si>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</si>
  <si>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</si>
  <si>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</si>
  <si>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</si>
  <si>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</si>
  <si>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</si>
  <si>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</si>
  <si>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</si>
  <si>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</si>
  <si>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</si>
  <si>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</si>
  <si>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</si>
  <si>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</si>
  <si>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</si>
  <si>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</si>
  <si>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</si>
  <si>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</si>
  <si>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</si>
  <si>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</si>
  <si>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</si>
  <si>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</si>
  <si>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</si>
  <si>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</si>
  <si>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</si>
  <si>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</si>
  <si>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</si>
  <si>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</si>
  <si>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</si>
  <si>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</si>
  <si>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</si>
  <si>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</si>
  <si>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</si>
  <si>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</si>
  <si>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</si>
  <si>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</si>
  <si>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</si>
  <si>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</si>
  <si>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</si>
  <si>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</si>
  <si>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</si>
  <si>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</si>
  <si>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</si>
  <si>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</si>
  <si>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</si>
  <si>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</si>
  <si>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</si>
  <si>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</si>
  <si>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</si>
  <si>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</si>
  <si>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</si>
  <si>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</si>
  <si>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</si>
  <si>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</si>
  <si>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</si>
  <si>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</si>
  <si>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</si>
  <si>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</si>
  <si>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</si>
  <si>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</si>
  <si>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</si>
  <si>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</si>
  <si>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</si>
  <si>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</si>
  <si>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</si>
  <si>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</si>
  <si>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</si>
  <si>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</si>
  <si>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</si>
  <si>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</si>
  <si>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</si>
  <si>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</si>
  <si>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</si>
  <si>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</si>
  <si>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</si>
  <si>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</si>
  <si>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</si>
  <si>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</si>
  <si>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</si>
  <si>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</si>
  <si>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</si>
  <si>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</si>
  <si>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</si>
  <si>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</si>
  <si>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</si>
  <si>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</si>
  <si>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</si>
  <si>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</si>
  <si>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</si>
  <si>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</si>
  <si>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</si>
  <si>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</si>
  <si>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</si>
  <si>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</si>
  <si>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</si>
  <si>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</si>
  <si>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</si>
  <si>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</si>
  <si>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</si>
  <si>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</si>
  <si>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</si>
  <si>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</si>
  <si>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</si>
  <si>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</si>
  <si>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</si>
  <si>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</si>
  <si>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</si>
  <si>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</si>
  <si>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</si>
  <si>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</si>
  <si>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</si>
  <si>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</si>
  <si>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</si>
  <si>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</si>
  <si>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</si>
  <si>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</si>
  <si>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</si>
  <si>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</si>
  <si>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</si>
  <si>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</si>
  <si>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</si>
  <si>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</si>
  <si>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</si>
  <si>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</si>
  <si>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</si>
  <si>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</si>
  <si>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</si>
  <si>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</si>
  <si>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</si>
  <si>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</si>
  <si>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</si>
  <si>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</si>
  <si>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</si>
  <si>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</si>
  <si>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</si>
  <si>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</si>
  <si>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</si>
  <si>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</si>
  <si>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</si>
  <si>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</si>
  <si>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</si>
  <si>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</si>
  <si>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</si>
  <si>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</si>
  <si>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</si>
  <si>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</si>
  <si>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</si>
  <si>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</si>
  <si>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</si>
  <si>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</si>
  <si>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</si>
  <si>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</si>
  <si>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</si>
  <si>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</si>
  <si>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</si>
  <si>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</si>
  <si>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</si>
  <si>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</si>
  <si>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</si>
  <si>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</si>
  <si>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</si>
  <si>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</si>
  <si>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</si>
  <si>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</si>
  <si>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</si>
  <si>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</si>
  <si>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</si>
  <si>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</si>
  <si>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</si>
  <si>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</si>
  <si>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</si>
  <si>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</si>
  <si>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</si>
  <si>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</si>
  <si>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</si>
  <si>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</si>
  <si>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</si>
  <si>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</si>
  <si>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</si>
  <si>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</si>
  <si>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</si>
  <si>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</si>
  <si>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</si>
  <si>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</si>
  <si>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</si>
  <si>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</si>
  <si>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</si>
  <si>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</si>
  <si>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</si>
  <si>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</si>
  <si>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</si>
  <si>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</si>
  <si>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</si>
  <si>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</si>
  <si>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</si>
  <si>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</si>
  <si>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</si>
  <si>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</si>
  <si>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</si>
  <si>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</si>
  <si>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</si>
  <si>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</si>
  <si>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</si>
  <si>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</si>
  <si>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</si>
  <si>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</si>
  <si>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</si>
  <si>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</si>
  <si>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</si>
  <si>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</si>
  <si>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</si>
  <si>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</si>
  <si>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</si>
  <si>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</si>
  <si>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</si>
  <si>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</si>
  <si>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</si>
  <si>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</si>
  <si>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</si>
  <si>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</si>
  <si>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</si>
  <si>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</si>
  <si>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</si>
  <si>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</si>
  <si>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</si>
  <si>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</si>
  <si>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</si>
  <si>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</si>
  <si>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</si>
  <si>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</si>
  <si>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</si>
  <si>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</si>
  <si>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</si>
  <si>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</si>
  <si>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</si>
  <si>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</si>
  <si>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</si>
  <si>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</si>
  <si>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</si>
  <si>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</si>
  <si>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</si>
  <si>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</si>
  <si>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</si>
  <si>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</si>
  <si>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</si>
  <si>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</si>
  <si>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</si>
  <si>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</si>
  <si>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</si>
  <si>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</si>
  <si>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</si>
  <si>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</si>
  <si>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</si>
  <si>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</si>
  <si>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</si>
  <si>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</si>
  <si>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</si>
  <si>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</si>
  <si>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</si>
  <si>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</si>
  <si>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</si>
  <si>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</si>
  <si>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</si>
  <si>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</si>
  <si>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</si>
  <si>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</si>
  <si>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</si>
  <si>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</si>
  <si>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</si>
  <si>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</si>
  <si>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</si>
  <si>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</si>
  <si>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</si>
  <si>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</si>
  <si>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</si>
  <si>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</si>
  <si>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</si>
  <si>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</si>
  <si>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</si>
  <si>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</si>
  <si>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</si>
  <si>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</si>
  <si>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</si>
  <si>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</si>
  <si>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</si>
  <si>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</si>
  <si>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</si>
  <si>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</si>
  <si>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</si>
  <si>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</si>
  <si>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</si>
  <si>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</si>
  <si>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</si>
  <si>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</si>
  <si>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</si>
  <si>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</si>
  <si>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</si>
  <si>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</si>
  <si>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</si>
  <si>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</si>
  <si>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</si>
  <si>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</si>
  <si>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</si>
  <si>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</si>
  <si>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</si>
  <si>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</si>
  <si>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</si>
  <si>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</si>
  <si>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</si>
  <si>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</si>
  <si>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</si>
  <si>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</si>
  <si>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LOSS EXPENSES PAID                                      (ALAE AND ULAE)</t>
  </si>
  <si>
    <t>POLICY YEAR 2005</t>
  </si>
  <si>
    <t>POLICY YEAR 2007</t>
  </si>
  <si>
    <t xml:space="preserve">     PREMIUMS RECEIVABLE</t>
  </si>
  <si>
    <t>Net Loss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</si>
</sst>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00%\ ;[Red]\ \(0.00%\)"/>
    <numFmt numFmtId="174" formatCode="0%\ ;[Red]\ \(0%\)"/>
    <numFmt numFmtId="175" formatCode="#,##0;\(#,##0\)"/>
    <numFmt numFmtId="176" formatCode="&quot;$&quot;#,##0;\(&quot;$&quot;#,##0\)"/>
    <numFmt numFmtId="177" formatCode="#,###,##0;\(#,###,##0\);&quot;  -  &quot;"/>
    <numFmt numFmtId="178" formatCode="&quot;$&quot;#,###,##0;\(&quot;$&quot;#,###,##0\);&quot;  -  &quot;"/>
    <numFmt numFmtId="179" formatCode="m/d/yy"/>
    <numFmt numFmtId="180" formatCode="#,###,##0.00;\(#,###,##0.00\);&quot;  -  &quot;"/>
    <numFmt numFmtId="181" formatCode="0_);[Red]\(0\)"/>
  </numFmts>
  <fonts count="72">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2"/>
      <name val="Century Schoolbook"/>
      <family val="1"/>
    </font>
    <font>
      <b/>
      <sz val="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5" fillId="0" borderId="0" applyNumberFormat="0" applyBorder="0" applyAlignment="0">
      <protection/>
    </xf>
    <xf numFmtId="0" fontId="67" fillId="0" borderId="0" applyNumberFormat="0" applyBorder="0" applyAlignment="0">
      <protection/>
    </xf>
    <xf numFmtId="0" fontId="68" fillId="0" borderId="0" applyNumberFormat="0" applyBorder="0" applyAlignment="0">
      <protection/>
    </xf>
    <xf numFmtId="0" fontId="25" fillId="0" borderId="0" applyNumberFormat="0" applyBorder="0" applyAlignment="0">
      <protection/>
    </xf>
    <xf numFmtId="0" fontId="21" fillId="0" borderId="0" applyNumberFormat="0" applyBorder="0" applyAlignment="0">
      <protection/>
    </xf>
    <xf numFmtId="0" fontId="69" fillId="0" borderId="0" applyNumberFormat="0" applyBorder="0" applyAlignment="0">
      <protection/>
    </xf>
    <xf numFmtId="0" fontId="15" fillId="0" borderId="0" applyNumberFormat="0" applyBorder="0" applyAlignment="0">
      <protection/>
    </xf>
  </cellStyleXfs>
  <cellXfs count="1011">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5" fillId="0" borderId="0" xfId="15" applyNumberFormat="1" applyFont="1" applyBorder="1" applyAlignment="1">
      <alignmen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0" fillId="2" borderId="4" xfId="15" applyNumberFormat="1" applyFont="1" applyFill="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0" xfId="15" applyNumberFormat="1" applyFont="1" applyBorder="1" applyAlignment="1">
      <alignment horizontal="righ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1"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1"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10" fillId="0" borderId="0" xfId="15" applyNumberFormat="1" applyFont="1" applyFill="1" applyAlignment="1">
      <alignment horizontal="centerContinuous"/>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0"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0" fontId="4" fillId="0" borderId="0" xfId="0" applyFont="1" applyFill="1" applyBorder="1" applyAlignment="1">
      <alignment horizontal="centerContinuous"/>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43" fontId="14" fillId="0" borderId="0" xfId="15" applyNumberFormat="1" applyFont="1" applyBorder="1" applyAlignment="1">
      <alignment horizontal="centerContinuous"/>
    </xf>
    <xf numFmtId="43" fontId="14" fillId="0" borderId="27" xfId="15" applyNumberFormat="1" applyFont="1" applyBorder="1" applyAlignment="1">
      <alignment horizontal="centerContinuous"/>
    </xf>
    <xf numFmtId="43" fontId="10" fillId="0" borderId="21" xfId="15" applyNumberFormat="1" applyFont="1" applyBorder="1" applyAlignment="1">
      <alignment horizontal="centerContinuous"/>
    </xf>
    <xf numFmtId="43" fontId="10" fillId="0" borderId="31"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43" fontId="10" fillId="0" borderId="0" xfId="0" applyNumberFormat="1"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43" fontId="10" fillId="0" borderId="0" xfId="0"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172" fontId="6" fillId="0" borderId="0" xfId="15" applyNumberFormat="1" applyFont="1" applyAlignment="1">
      <alignment horizontal="centerContinuous"/>
    </xf>
    <xf numFmtId="172" fontId="14" fillId="0" borderId="0" xfId="15" applyNumberFormat="1" applyFont="1" applyAlignment="1">
      <alignment/>
    </xf>
    <xf numFmtId="172" fontId="14" fillId="0" borderId="0" xfId="15" applyNumberFormat="1" applyFont="1" applyFill="1" applyAlignment="1">
      <alignment/>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72" fontId="14" fillId="0" borderId="0" xfId="15" applyNumberFormat="1" applyFont="1" applyAlignment="1">
      <alignment/>
    </xf>
    <xf numFmtId="164" fontId="31" fillId="0" borderId="0" xfId="15" applyNumberFormat="1" applyFont="1" applyFill="1" applyAlignment="1">
      <alignment/>
    </xf>
    <xf numFmtId="43" fontId="31" fillId="0" borderId="0" xfId="0" applyNumberFormat="1" applyFont="1" applyBorder="1" applyAlignment="1">
      <alignment/>
    </xf>
    <xf numFmtId="172" fontId="10"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164" fontId="15" fillId="7" borderId="0" xfId="15" applyNumberFormat="1" applyFont="1" applyFill="1" applyAlignment="1">
      <alignment horizontal="centerContinuous" wrapText="1"/>
    </xf>
    <xf numFmtId="164" fontId="15" fillId="7" borderId="0" xfId="15" applyNumberFormat="1" applyFont="1" applyFill="1" applyBorder="1" applyAlignment="1">
      <alignment horizontal="centerContinuous" wrapText="1"/>
    </xf>
    <xf numFmtId="164" fontId="15" fillId="7" borderId="0" xfId="15" applyNumberFormat="1" applyFont="1" applyFill="1" applyBorder="1" applyAlignment="1">
      <alignment horizontal="center" wrapText="1"/>
    </xf>
    <xf numFmtId="7" fontId="15" fillId="7" borderId="0" xfId="15" applyNumberFormat="1" applyFont="1" applyFill="1" applyAlignment="1">
      <alignment horizontal="center" wrapText="1"/>
    </xf>
    <xf numFmtId="43" fontId="10" fillId="7" borderId="21" xfId="15" applyNumberFormat="1" applyFont="1" applyFill="1" applyBorder="1" applyAlignment="1" quotePrefix="1">
      <alignment horizontal="centerContinuous"/>
    </xf>
    <xf numFmtId="43" fontId="10" fillId="7" borderId="31" xfId="15" applyNumberFormat="1" applyFont="1" applyFill="1" applyBorder="1" applyAlignment="1" quotePrefix="1">
      <alignment horizontal="centerContinuous" wrapText="1"/>
    </xf>
    <xf numFmtId="43" fontId="14" fillId="7" borderId="14" xfId="15" applyNumberFormat="1" applyFont="1" applyFill="1" applyBorder="1" applyAlignment="1">
      <alignment horizontal="centerContinuous"/>
    </xf>
    <xf numFmtId="43" fontId="10" fillId="7" borderId="22" xfId="15" applyNumberFormat="1" applyFont="1" applyFill="1" applyBorder="1" applyAlignment="1">
      <alignment horizontal="centerContinuous"/>
    </xf>
    <xf numFmtId="43" fontId="10" fillId="7" borderId="4" xfId="15" applyNumberFormat="1" applyFont="1" applyFill="1" applyBorder="1" applyAlignment="1">
      <alignment horizontal="centerContinuous"/>
    </xf>
    <xf numFmtId="43" fontId="10" fillId="7" borderId="15" xfId="15" applyNumberFormat="1" applyFont="1" applyFill="1" applyBorder="1" applyAlignment="1">
      <alignment horizontal="centerContinuous"/>
    </xf>
    <xf numFmtId="164" fontId="21" fillId="7" borderId="0" xfId="15" applyNumberFormat="1" applyFont="1" applyFill="1" applyBorder="1" applyAlignment="1">
      <alignment horizontal="center" wrapText="1"/>
    </xf>
    <xf numFmtId="7" fontId="10" fillId="7" borderId="4" xfId="15" applyNumberFormat="1" applyFont="1" applyFill="1" applyBorder="1" applyAlignment="1">
      <alignment horizontal="centerContinuous"/>
    </xf>
    <xf numFmtId="7" fontId="10" fillId="7" borderId="0" xfId="15" applyNumberFormat="1" applyFont="1" applyFill="1" applyBorder="1" applyAlignment="1">
      <alignment horizontal="centerContinuous"/>
    </xf>
    <xf numFmtId="5" fontId="15" fillId="7" borderId="0" xfId="15" applyNumberFormat="1" applyFont="1" applyFill="1" applyBorder="1" applyAlignment="1">
      <alignment horizontal="center" wrapText="1"/>
    </xf>
    <xf numFmtId="172" fontId="7" fillId="0" borderId="0" xfId="15" applyNumberFormat="1" applyFont="1" applyAlignment="1">
      <alignment horizontal="left"/>
    </xf>
    <xf numFmtId="172" fontId="10" fillId="0" borderId="0" xfId="15" applyNumberFormat="1" applyFont="1" applyAlignment="1">
      <alignment horizontal="left"/>
    </xf>
    <xf numFmtId="172" fontId="14" fillId="0" borderId="0" xfId="15" applyNumberFormat="1" applyFont="1" applyAlignment="1">
      <alignment horizontal="left"/>
    </xf>
    <xf numFmtId="172" fontId="10" fillId="0" borderId="0" xfId="15" applyNumberFormat="1" applyFont="1" applyAlignment="1">
      <alignment horizontal="center"/>
    </xf>
    <xf numFmtId="43" fontId="10" fillId="0" borderId="0" xfId="0" applyNumberFormat="1" applyFont="1" applyBorder="1" applyAlignment="1">
      <alignment horizontal="left"/>
    </xf>
    <xf numFmtId="172" fontId="38" fillId="0" borderId="0" xfId="15" applyNumberFormat="1" applyFont="1" applyAlignment="1">
      <alignment horizontal="left"/>
    </xf>
    <xf numFmtId="164" fontId="10" fillId="0" borderId="6" xfId="15" applyNumberFormat="1" applyFont="1" applyBorder="1" applyAlignment="1">
      <alignment horizontal="center"/>
    </xf>
    <xf numFmtId="38" fontId="66" fillId="0" borderId="0" xfId="0" applyNumberFormat="1" applyFont="1" applyAlignment="1">
      <alignment horizontal="right"/>
    </xf>
    <xf numFmtId="164" fontId="14" fillId="0" borderId="27" xfId="15" applyNumberFormat="1" applyFont="1" applyFill="1" applyBorder="1" applyAlignment="1">
      <alignment horizontal="right"/>
    </xf>
    <xf numFmtId="164" fontId="14" fillId="0" borderId="15" xfId="15" applyNumberFormat="1" applyFont="1" applyFill="1" applyBorder="1" applyAlignment="1">
      <alignment horizontal="right"/>
    </xf>
    <xf numFmtId="5" fontId="10" fillId="0" borderId="15" xfId="15" applyNumberFormat="1" applyFont="1" applyFill="1" applyBorder="1" applyAlignment="1">
      <alignment horizontal="right"/>
    </xf>
    <xf numFmtId="5" fontId="10" fillId="0" borderId="27" xfId="15" applyNumberFormat="1" applyFont="1" applyFill="1" applyBorder="1" applyAlignment="1">
      <alignment horizontal="right"/>
    </xf>
    <xf numFmtId="164" fontId="14" fillId="0" borderId="30" xfId="15" applyNumberFormat="1" applyFont="1" applyFill="1" applyBorder="1" applyAlignment="1">
      <alignment horizontal="right"/>
    </xf>
    <xf numFmtId="164" fontId="14" fillId="0" borderId="6" xfId="15" applyNumberFormat="1" applyFont="1" applyFill="1" applyBorder="1" applyAlignment="1">
      <alignment horizontal="right"/>
    </xf>
    <xf numFmtId="43" fontId="14" fillId="0" borderId="0" xfId="0" applyNumberFormat="1" applyFont="1" applyAlignment="1">
      <alignment/>
    </xf>
    <xf numFmtId="164" fontId="21" fillId="7" borderId="0" xfId="15" applyNumberFormat="1" applyFont="1" applyFill="1" applyAlignment="1">
      <alignment horizontal="centerContinuous" wrapText="1"/>
    </xf>
    <xf numFmtId="164" fontId="21" fillId="7" borderId="0" xfId="15" applyNumberFormat="1" applyFont="1" applyFill="1" applyBorder="1" applyAlignment="1">
      <alignment horizontal="centerContinuous" wrapText="1"/>
    </xf>
    <xf numFmtId="6" fontId="14" fillId="0" borderId="0" xfId="15" applyNumberFormat="1" applyFont="1" applyFill="1" applyBorder="1" applyAlignment="1">
      <alignment horizontal="right"/>
    </xf>
    <xf numFmtId="38" fontId="14" fillId="0" borderId="0" xfId="15" applyNumberFormat="1" applyFont="1" applyBorder="1" applyAlignment="1">
      <alignment horizontal="right"/>
    </xf>
    <xf numFmtId="38" fontId="14" fillId="0" borderId="0" xfId="15" applyNumberFormat="1" applyFont="1" applyFill="1" applyAlignment="1">
      <alignment horizontal="right"/>
    </xf>
    <xf numFmtId="38" fontId="14" fillId="0" borderId="0" xfId="15" applyNumberFormat="1" applyFont="1" applyAlignment="1">
      <alignment/>
    </xf>
    <xf numFmtId="38" fontId="14" fillId="0" borderId="5" xfId="15" applyNumberFormat="1" applyFont="1" applyBorder="1" applyAlignment="1">
      <alignment/>
    </xf>
    <xf numFmtId="38" fontId="14" fillId="0" borderId="5" xfId="15" applyNumberFormat="1" applyFont="1" applyFill="1" applyBorder="1" applyAlignment="1">
      <alignment/>
    </xf>
    <xf numFmtId="38" fontId="14" fillId="0" borderId="0" xfId="15" applyNumberFormat="1" applyFont="1" applyFill="1" applyAlignment="1">
      <alignment/>
    </xf>
    <xf numFmtId="6" fontId="10" fillId="0" borderId="6" xfId="15" applyNumberFormat="1" applyFont="1" applyFill="1" applyBorder="1" applyAlignment="1">
      <alignment horizontal="right"/>
    </xf>
    <xf numFmtId="38" fontId="14" fillId="0" borderId="5" xfId="15" applyNumberFormat="1" applyFont="1" applyFill="1" applyBorder="1" applyAlignment="1">
      <alignment horizontal="right"/>
    </xf>
    <xf numFmtId="38" fontId="14" fillId="0" borderId="4" xfId="15" applyNumberFormat="1" applyFont="1" applyBorder="1" applyAlignment="1">
      <alignment horizontal="right"/>
    </xf>
    <xf numFmtId="6" fontId="10" fillId="0" borderId="27" xfId="15" applyNumberFormat="1" applyFont="1" applyFill="1" applyBorder="1" applyAlignment="1">
      <alignment horizontal="right"/>
    </xf>
    <xf numFmtId="6" fontId="10" fillId="0" borderId="15" xfId="15" applyNumberFormat="1" applyFont="1" applyFill="1" applyBorder="1" applyAlignment="1">
      <alignment horizontal="right"/>
    </xf>
    <xf numFmtId="38" fontId="14" fillId="0" borderId="27" xfId="15" applyNumberFormat="1" applyFont="1" applyBorder="1" applyAlignment="1">
      <alignment/>
    </xf>
    <xf numFmtId="38" fontId="14" fillId="0" borderId="28" xfId="15" applyNumberFormat="1" applyFont="1" applyBorder="1" applyAlignment="1">
      <alignment/>
    </xf>
    <xf numFmtId="38" fontId="14" fillId="0" borderId="0" xfId="15" applyNumberFormat="1" applyFont="1" applyBorder="1" applyAlignment="1">
      <alignment/>
    </xf>
    <xf numFmtId="6" fontId="10" fillId="0" borderId="33" xfId="15" applyNumberFormat="1" applyFont="1" applyBorder="1" applyAlignment="1">
      <alignment/>
    </xf>
    <xf numFmtId="38" fontId="10" fillId="0" borderId="0" xfId="15" applyNumberFormat="1" applyFont="1" applyFill="1" applyBorder="1" applyAlignment="1">
      <alignment horizontal="right"/>
    </xf>
    <xf numFmtId="6" fontId="14" fillId="0" borderId="0" xfId="17" applyNumberFormat="1" applyFont="1" applyFill="1" applyBorder="1" applyAlignment="1">
      <alignment/>
    </xf>
    <xf numFmtId="38" fontId="14" fillId="0" borderId="5" xfId="15" applyNumberFormat="1" applyFont="1" applyFill="1" applyBorder="1" applyAlignment="1">
      <alignment/>
    </xf>
    <xf numFmtId="38" fontId="14" fillId="0" borderId="0" xfId="15" applyNumberFormat="1" applyFont="1" applyFill="1" applyBorder="1" applyAlignment="1">
      <alignment/>
    </xf>
    <xf numFmtId="38" fontId="10" fillId="0" borderId="5" xfId="15" applyNumberFormat="1" applyFont="1" applyFill="1" applyBorder="1" applyAlignment="1">
      <alignment/>
    </xf>
    <xf numFmtId="6" fontId="10" fillId="0" borderId="6" xfId="15" applyNumberFormat="1" applyFont="1" applyFill="1" applyBorder="1" applyAlignment="1">
      <alignment/>
    </xf>
    <xf numFmtId="0" fontId="70" fillId="0" borderId="0" xfId="0" applyFont="1" applyAlignment="1">
      <alignment/>
    </xf>
    <xf numFmtId="5" fontId="70" fillId="0" borderId="0" xfId="15" applyNumberFormat="1" applyFont="1" applyAlignment="1">
      <alignment horizontal="right"/>
    </xf>
    <xf numFmtId="6" fontId="10" fillId="0" borderId="6" xfId="15" applyNumberFormat="1" applyFont="1" applyBorder="1" applyAlignment="1">
      <alignment/>
    </xf>
    <xf numFmtId="38" fontId="10" fillId="0" borderId="6" xfId="15" applyNumberFormat="1" applyFont="1" applyFill="1" applyBorder="1" applyAlignment="1">
      <alignment/>
    </xf>
    <xf numFmtId="6" fontId="14" fillId="0" borderId="0" xfId="15" applyNumberFormat="1" applyFont="1" applyBorder="1" applyAlignment="1">
      <alignment/>
    </xf>
    <xf numFmtId="5" fontId="14" fillId="0" borderId="0" xfId="0" applyNumberFormat="1" applyFont="1" applyBorder="1" applyAlignment="1">
      <alignment horizontal="center"/>
    </xf>
    <xf numFmtId="168" fontId="70" fillId="0" borderId="0" xfId="15" applyNumberFormat="1" applyFont="1" applyAlignment="1" quotePrefix="1">
      <alignment horizontal="right"/>
    </xf>
    <xf numFmtId="6" fontId="10" fillId="0" borderId="6" xfId="15" applyNumberFormat="1" applyFont="1" applyBorder="1" applyAlignment="1">
      <alignment horizontal="right"/>
    </xf>
    <xf numFmtId="0" fontId="1" fillId="0" borderId="0" xfId="0" applyFont="1" applyAlignment="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1" xfId="0" applyNumberFormat="1" applyFont="1" applyFill="1" applyBorder="1" applyAlignment="1">
      <alignment horizontal="center"/>
    </xf>
    <xf numFmtId="7" fontId="11" fillId="0" borderId="14" xfId="0" applyNumberFormat="1" applyFont="1" applyFill="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7" fontId="13" fillId="0" borderId="27" xfId="0" applyNumberFormat="1" applyFont="1" applyFill="1" applyBorder="1" applyAlignment="1" quotePrefix="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40" fontId="4" fillId="0" borderId="0" xfId="0" applyNumberFormat="1" applyFont="1" applyFill="1" applyBorder="1" applyAlignment="1">
      <alignment horizontal="center"/>
    </xf>
    <xf numFmtId="7" fontId="18"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1"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18" fillId="0" borderId="31" xfId="0" applyFont="1" applyBorder="1" applyAlignment="1">
      <alignment horizontal="center"/>
    </xf>
    <xf numFmtId="0" fontId="18" fillId="0" borderId="14" xfId="0" applyFont="1" applyBorder="1" applyAlignment="1">
      <alignment horizontal="center"/>
    </xf>
    <xf numFmtId="0" fontId="18" fillId="0" borderId="21"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62" fillId="0" borderId="0" xfId="0" applyFont="1" applyAlignment="1">
      <alignment horizontal="left" vertical="center" wrapText="1"/>
    </xf>
    <xf numFmtId="0" fontId="63" fillId="0" borderId="0" xfId="0" applyFont="1" applyAlignment="1">
      <alignment horizontal="center" vertical="center" wrapText="1"/>
    </xf>
    <xf numFmtId="7" fontId="7" fillId="0" borderId="0" xfId="0" applyNumberFormat="1" applyFont="1" applyBorder="1" applyAlignment="1">
      <alignment horizontal="center"/>
    </xf>
    <xf numFmtId="7" fontId="7" fillId="0" borderId="0" xfId="0" applyNumberFormat="1" applyFont="1" applyBorder="1" applyAlignment="1" quotePrefix="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18" fillId="0" borderId="21" xfId="0" applyNumberFormat="1" applyFont="1" applyBorder="1" applyAlignment="1">
      <alignment horizontal="center"/>
    </xf>
    <xf numFmtId="43" fontId="18" fillId="0" borderId="31" xfId="0" applyNumberFormat="1" applyFont="1" applyBorder="1" applyAlignment="1">
      <alignment horizontal="center"/>
    </xf>
    <xf numFmtId="43" fontId="18"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38" fillId="0" borderId="0" xfId="0" applyFont="1" applyAlignment="1">
      <alignment horizontal="left" vertical="center" wrapText="1"/>
    </xf>
    <xf numFmtId="0" fontId="32" fillId="0" borderId="0" xfId="0" applyFont="1" applyAlignment="1">
      <alignment horizontal="center" vertical="center" wrapText="1"/>
    </xf>
    <xf numFmtId="172" fontId="46" fillId="0" borderId="0" xfId="15" applyNumberFormat="1" applyFont="1" applyAlignment="1">
      <alignment horizontal="center"/>
    </xf>
    <xf numFmtId="172" fontId="7" fillId="0" borderId="0" xfId="15" applyNumberFormat="1" applyFont="1" applyAlignment="1">
      <alignment horizontal="center"/>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15">
    <cellStyle name="Normal" xfId="0"/>
    <cellStyle name="Comma" xfId="15"/>
    <cellStyle name="Comma [0]" xfId="16"/>
    <cellStyle name="Currency" xfId="17"/>
    <cellStyle name="Currency [0]" xfId="18"/>
    <cellStyle name="Followed Hyperlink" xfId="19"/>
    <cellStyle name="Hyperlink" xfId="20"/>
    <cellStyle name="Percent" xfId="21"/>
    <cellStyle name="STYLE1" xfId="22"/>
    <cellStyle name="STYLE2" xfId="23"/>
    <cellStyle name="STYLE3" xfId="24"/>
    <cellStyle name="STYLE4" xfId="25"/>
    <cellStyle name="STYLE5" xfId="26"/>
    <cellStyle name="STYLE6" xfId="27"/>
    <cellStyle name="STYLE7"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Q08%20Flux%20Analysi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Q08%20Trial%20Balan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iuapdc\users\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npaid Loss Reserves-8"/>
      <sheetName val="Unpaid Loss Expense Reserves-9"/>
      <sheetName val="Loss Expenses Paid QTD-10"/>
    </sheetNames>
    <sheetDataSet>
      <sheetData sheetId="0">
        <row r="8">
          <cell r="D8">
            <v>68981</v>
          </cell>
        </row>
        <row r="9">
          <cell r="D9">
            <v>40000</v>
          </cell>
        </row>
        <row r="10">
          <cell r="D10">
            <v>0</v>
          </cell>
        </row>
        <row r="15">
          <cell r="D15">
            <v>51005</v>
          </cell>
        </row>
        <row r="16">
          <cell r="D16">
            <v>0</v>
          </cell>
        </row>
        <row r="17">
          <cell r="D17">
            <v>0</v>
          </cell>
        </row>
        <row r="22">
          <cell r="B22">
            <v>40927</v>
          </cell>
          <cell r="D22">
            <v>253535</v>
          </cell>
        </row>
        <row r="23">
          <cell r="B23">
            <v>1091</v>
          </cell>
          <cell r="D23">
            <v>6757</v>
          </cell>
        </row>
        <row r="24">
          <cell r="B24">
            <v>0</v>
          </cell>
          <cell r="D24">
            <v>0</v>
          </cell>
        </row>
        <row r="29">
          <cell r="B29">
            <v>763770</v>
          </cell>
          <cell r="D29">
            <v>2467574</v>
          </cell>
        </row>
        <row r="30">
          <cell r="B30">
            <v>70885</v>
          </cell>
          <cell r="D30">
            <v>229015</v>
          </cell>
        </row>
        <row r="31">
          <cell r="B31">
            <v>0</v>
          </cell>
          <cell r="D31">
            <v>0</v>
          </cell>
        </row>
        <row r="35">
          <cell r="B35">
            <v>2455</v>
          </cell>
          <cell r="D35">
            <v>224648</v>
          </cell>
        </row>
        <row r="36">
          <cell r="B36">
            <v>372</v>
          </cell>
          <cell r="D36">
            <v>34000</v>
          </cell>
        </row>
        <row r="37">
          <cell r="B37">
            <v>0</v>
          </cell>
          <cell r="D37">
            <v>0</v>
          </cell>
        </row>
      </sheetData>
      <sheetData sheetId="1">
        <row r="29">
          <cell r="B29">
            <v>18451</v>
          </cell>
          <cell r="C29">
            <v>299599</v>
          </cell>
          <cell r="D29">
            <v>80429</v>
          </cell>
          <cell r="E29">
            <v>18977</v>
          </cell>
          <cell r="F29">
            <v>4871</v>
          </cell>
        </row>
        <row r="30">
          <cell r="B30">
            <v>2792</v>
          </cell>
          <cell r="C30">
            <v>27806</v>
          </cell>
          <cell r="D30">
            <v>2144</v>
          </cell>
          <cell r="E30">
            <v>0</v>
          </cell>
          <cell r="F30">
            <v>6846</v>
          </cell>
        </row>
        <row r="31">
          <cell r="B31">
            <v>0</v>
          </cell>
          <cell r="C31">
            <v>0</v>
          </cell>
          <cell r="D31">
            <v>0</v>
          </cell>
          <cell r="E31">
            <v>0</v>
          </cell>
          <cell r="F31">
            <v>0</v>
          </cell>
        </row>
      </sheetData>
      <sheetData sheetId="2">
        <row r="9">
          <cell r="E9">
            <v>41019</v>
          </cell>
          <cell r="K9">
            <v>2540</v>
          </cell>
        </row>
        <row r="10">
          <cell r="E10">
            <v>0</v>
          </cell>
          <cell r="K10">
            <v>4368</v>
          </cell>
        </row>
        <row r="11">
          <cell r="E11">
            <v>0</v>
          </cell>
          <cell r="K11">
            <v>0</v>
          </cell>
        </row>
        <row r="12">
          <cell r="C12">
            <v>4368</v>
          </cell>
          <cell r="I12">
            <v>2540</v>
          </cell>
        </row>
        <row r="15">
          <cell r="E15">
            <v>-1960</v>
          </cell>
          <cell r="K15">
            <v>6705</v>
          </cell>
        </row>
        <row r="16">
          <cell r="E16">
            <v>4343</v>
          </cell>
          <cell r="K16">
            <v>1706</v>
          </cell>
        </row>
        <row r="17">
          <cell r="E17">
            <v>0</v>
          </cell>
          <cell r="K17">
            <v>0</v>
          </cell>
        </row>
        <row r="18">
          <cell r="C18">
            <v>8263</v>
          </cell>
          <cell r="I18">
            <v>148</v>
          </cell>
        </row>
        <row r="21">
          <cell r="E21">
            <v>229388</v>
          </cell>
          <cell r="K21">
            <v>29930</v>
          </cell>
        </row>
        <row r="22">
          <cell r="E22">
            <v>20822</v>
          </cell>
          <cell r="K22">
            <v>7407</v>
          </cell>
        </row>
        <row r="23">
          <cell r="E23">
            <v>0</v>
          </cell>
          <cell r="K23">
            <v>0</v>
          </cell>
        </row>
        <row r="24">
          <cell r="C24">
            <v>21843</v>
          </cell>
          <cell r="I24">
            <v>15494</v>
          </cell>
        </row>
        <row r="27">
          <cell r="E27">
            <v>2320119</v>
          </cell>
          <cell r="K27">
            <v>245428</v>
          </cell>
        </row>
        <row r="28">
          <cell r="E28">
            <v>138109</v>
          </cell>
          <cell r="K28">
            <v>45454</v>
          </cell>
        </row>
        <row r="29">
          <cell r="E29">
            <v>302</v>
          </cell>
          <cell r="K29">
            <v>639</v>
          </cell>
        </row>
        <row r="30">
          <cell r="C30">
            <v>139276</v>
          </cell>
          <cell r="I30">
            <v>152245</v>
          </cell>
        </row>
        <row r="33">
          <cell r="E33">
            <v>22415</v>
          </cell>
          <cell r="K33">
            <v>1956</v>
          </cell>
        </row>
        <row r="34">
          <cell r="E34">
            <v>10390</v>
          </cell>
          <cell r="K34">
            <v>2846</v>
          </cell>
        </row>
        <row r="35">
          <cell r="E35">
            <v>0</v>
          </cell>
          <cell r="K35">
            <v>0</v>
          </cell>
        </row>
        <row r="36">
          <cell r="C36">
            <v>2771</v>
          </cell>
          <cell r="I36">
            <v>2031</v>
          </cell>
        </row>
        <row r="42">
          <cell r="C42">
            <v>176521</v>
          </cell>
          <cell r="E42">
            <v>2784947</v>
          </cell>
          <cell r="I42">
            <v>172458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Q08 Trial Balance"/>
    </sheetNames>
    <sheetDataSet>
      <sheetData sheetId="0">
        <row r="17">
          <cell r="D17">
            <v>11457231</v>
          </cell>
        </row>
        <row r="21">
          <cell r="D21">
            <v>3508162</v>
          </cell>
        </row>
        <row r="24">
          <cell r="D24">
            <v>82621</v>
          </cell>
        </row>
        <row r="28">
          <cell r="D28">
            <v>26153</v>
          </cell>
        </row>
        <row r="36">
          <cell r="D36">
            <v>24332</v>
          </cell>
        </row>
        <row r="40">
          <cell r="D40">
            <v>53741</v>
          </cell>
        </row>
        <row r="56">
          <cell r="D56">
            <v>23247</v>
          </cell>
        </row>
        <row r="64">
          <cell r="C64">
            <v>-3614901</v>
          </cell>
        </row>
        <row r="65">
          <cell r="C65">
            <v>-1070955</v>
          </cell>
        </row>
        <row r="66">
          <cell r="C66">
            <v>-10413</v>
          </cell>
        </row>
        <row r="68">
          <cell r="C68">
            <v>-2438247</v>
          </cell>
        </row>
        <row r="69">
          <cell r="C69">
            <v>-713548</v>
          </cell>
        </row>
        <row r="70">
          <cell r="C70">
            <v>-7261</v>
          </cell>
        </row>
        <row r="72">
          <cell r="D72">
            <v>-7855325</v>
          </cell>
        </row>
        <row r="92">
          <cell r="D92">
            <v>-3375515</v>
          </cell>
        </row>
        <row r="109">
          <cell r="D109">
            <v>-879500</v>
          </cell>
        </row>
        <row r="131">
          <cell r="D131">
            <v>-337030</v>
          </cell>
        </row>
        <row r="150">
          <cell r="D150">
            <v>-124885</v>
          </cell>
        </row>
        <row r="156">
          <cell r="D156">
            <v>-34955</v>
          </cell>
        </row>
        <row r="160">
          <cell r="D160">
            <v>-133514</v>
          </cell>
        </row>
        <row r="164">
          <cell r="D164">
            <v>-108845</v>
          </cell>
        </row>
        <row r="175">
          <cell r="D175">
            <v>-223062</v>
          </cell>
        </row>
        <row r="205">
          <cell r="D205">
            <v>-123540</v>
          </cell>
        </row>
        <row r="208">
          <cell r="D208">
            <v>-2133642</v>
          </cell>
        </row>
        <row r="214">
          <cell r="D214">
            <v>-283159</v>
          </cell>
        </row>
        <row r="221">
          <cell r="D221">
            <v>-217407</v>
          </cell>
        </row>
        <row r="238">
          <cell r="C238">
            <v>4285</v>
          </cell>
        </row>
        <row r="239">
          <cell r="C239">
            <v>2964</v>
          </cell>
        </row>
        <row r="241">
          <cell r="C241">
            <v>-36730</v>
          </cell>
        </row>
        <row r="242">
          <cell r="C242">
            <v>-7163</v>
          </cell>
        </row>
        <row r="243">
          <cell r="C243">
            <v>320</v>
          </cell>
        </row>
        <row r="245">
          <cell r="C245">
            <v>-2801527</v>
          </cell>
        </row>
        <row r="246">
          <cell r="C246">
            <v>-818715</v>
          </cell>
        </row>
        <row r="247">
          <cell r="C247">
            <v>-8281</v>
          </cell>
        </row>
        <row r="277">
          <cell r="D277">
            <v>-160147</v>
          </cell>
        </row>
        <row r="296">
          <cell r="C296">
            <v>-2616</v>
          </cell>
        </row>
        <row r="298">
          <cell r="C298">
            <v>-2666</v>
          </cell>
        </row>
        <row r="300">
          <cell r="D300">
            <v>-5282</v>
          </cell>
        </row>
        <row r="423">
          <cell r="D423">
            <v>-674</v>
          </cell>
        </row>
        <row r="427">
          <cell r="D427">
            <v>4023</v>
          </cell>
        </row>
        <row r="431">
          <cell r="D431">
            <v>316370</v>
          </cell>
        </row>
        <row r="433">
          <cell r="D433">
            <v>319719</v>
          </cell>
        </row>
        <row r="436">
          <cell r="D436">
            <v>16578</v>
          </cell>
        </row>
        <row r="438">
          <cell r="D438">
            <v>3713</v>
          </cell>
        </row>
        <row r="442">
          <cell r="D442">
            <v>29428</v>
          </cell>
        </row>
        <row r="444">
          <cell r="D444">
            <v>49719</v>
          </cell>
        </row>
        <row r="752">
          <cell r="D752">
            <v>1163320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40" t="s">
        <v>278</v>
      </c>
      <c r="B1" s="940"/>
      <c r="C1" s="940"/>
      <c r="D1" s="940"/>
      <c r="E1" s="940"/>
      <c r="F1" s="940"/>
      <c r="G1" s="940"/>
      <c r="H1" s="940"/>
      <c r="I1" s="940"/>
    </row>
    <row r="2" spans="1:7" s="20" customFormat="1" ht="18.75">
      <c r="A2" s="941"/>
      <c r="B2" s="941"/>
      <c r="C2" s="941"/>
      <c r="D2" s="941"/>
      <c r="E2" s="941"/>
      <c r="F2" s="370"/>
      <c r="G2" s="370"/>
    </row>
    <row r="3" spans="1:9" s="21" customFormat="1" ht="15">
      <c r="A3" s="942" t="s">
        <v>296</v>
      </c>
      <c r="B3" s="942"/>
      <c r="C3" s="942"/>
      <c r="D3" s="942"/>
      <c r="E3" s="942"/>
      <c r="F3" s="942"/>
      <c r="G3" s="942"/>
      <c r="H3" s="942"/>
      <c r="I3" s="942"/>
    </row>
    <row r="4" spans="1:9" s="21" customFormat="1" ht="15">
      <c r="A4" s="943" t="s">
        <v>178</v>
      </c>
      <c r="B4" s="943"/>
      <c r="C4" s="943"/>
      <c r="D4" s="943"/>
      <c r="E4" s="943"/>
      <c r="F4" s="943"/>
      <c r="G4" s="943"/>
      <c r="H4" s="943"/>
      <c r="I4" s="943"/>
    </row>
    <row r="5" spans="1:9" s="21" customFormat="1" ht="15">
      <c r="A5" s="634"/>
      <c r="B5" s="635"/>
      <c r="C5" s="635"/>
      <c r="D5" s="635"/>
      <c r="E5" s="635"/>
      <c r="F5" s="337"/>
      <c r="G5" s="337"/>
      <c r="H5" s="337"/>
      <c r="I5" s="337"/>
    </row>
    <row r="6" spans="1:7" ht="14.25">
      <c r="A6" s="22"/>
      <c r="B6" s="342"/>
      <c r="C6" s="342"/>
      <c r="F6" s="342"/>
      <c r="G6" s="342"/>
    </row>
    <row r="7" spans="2:9" ht="15">
      <c r="B7" s="636" t="s">
        <v>250</v>
      </c>
      <c r="C7" s="636"/>
      <c r="D7" s="636" t="s">
        <v>46</v>
      </c>
      <c r="E7" s="636"/>
      <c r="F7" s="636" t="s">
        <v>250</v>
      </c>
      <c r="G7" s="636"/>
      <c r="H7" s="636" t="s">
        <v>46</v>
      </c>
      <c r="I7" s="636"/>
    </row>
    <row r="8" spans="1:9" ht="15">
      <c r="A8" s="637"/>
      <c r="B8" s="508" t="s">
        <v>251</v>
      </c>
      <c r="C8" s="508"/>
      <c r="D8" s="508" t="s">
        <v>162</v>
      </c>
      <c r="E8" s="508"/>
      <c r="F8" s="508" t="s">
        <v>252</v>
      </c>
      <c r="G8" s="508"/>
      <c r="H8" s="508" t="s">
        <v>163</v>
      </c>
      <c r="I8" s="508"/>
    </row>
    <row r="9" spans="2:9" ht="15">
      <c r="B9" s="638"/>
      <c r="C9" s="639"/>
      <c r="D9" s="638"/>
      <c r="E9" s="640"/>
      <c r="F9" s="638"/>
      <c r="G9" s="640"/>
      <c r="H9" s="638"/>
      <c r="I9" s="640"/>
    </row>
    <row r="10" spans="1:9" ht="15">
      <c r="A10" s="637" t="s">
        <v>298</v>
      </c>
      <c r="B10" s="638"/>
      <c r="C10" s="640"/>
      <c r="D10" s="638"/>
      <c r="E10" s="640"/>
      <c r="F10" s="638"/>
      <c r="G10" s="640"/>
      <c r="H10" s="638"/>
      <c r="I10" s="640"/>
    </row>
    <row r="11" spans="1:9" ht="15">
      <c r="A11" s="637"/>
      <c r="B11" s="638"/>
      <c r="C11" s="640"/>
      <c r="D11" s="638"/>
      <c r="E11" s="640"/>
      <c r="F11" s="638"/>
      <c r="G11" s="640"/>
      <c r="H11" s="638"/>
      <c r="I11" s="640"/>
    </row>
    <row r="12" spans="1:9" ht="15">
      <c r="A12" s="18" t="s">
        <v>299</v>
      </c>
      <c r="C12" s="561">
        <f>'[8]Earned Incurred QTD-p5'!D16</f>
        <v>4977049</v>
      </c>
      <c r="D12" s="493"/>
      <c r="E12" s="561">
        <f>'[8]Earned Incurred YTD-p6'!D16</f>
        <v>14052348</v>
      </c>
      <c r="G12" s="561">
        <f>+'[7]Income Statement (pg 2)'!$C$12</f>
        <v>4336172</v>
      </c>
      <c r="I12" s="561">
        <f>+'[7]Income Statement (pg 2)'!$E$12</f>
        <v>12605846</v>
      </c>
    </row>
    <row r="13" spans="1:9" ht="15">
      <c r="A13" s="637"/>
      <c r="C13" s="489"/>
      <c r="E13" s="489"/>
      <c r="G13" s="489"/>
      <c r="I13" s="489"/>
    </row>
    <row r="14" spans="1:9" ht="15">
      <c r="A14" s="637" t="s">
        <v>300</v>
      </c>
      <c r="C14" s="489"/>
      <c r="E14" s="489"/>
      <c r="G14" s="489"/>
      <c r="I14" s="489"/>
    </row>
    <row r="15" spans="1:9" ht="14.25">
      <c r="A15" s="18" t="s">
        <v>301</v>
      </c>
      <c r="B15" s="127">
        <f>'[8]Earned Incurred QTD-p5'!D23</f>
        <v>3008827.2250000006</v>
      </c>
      <c r="C15" s="489"/>
      <c r="D15" s="127">
        <f>'[8]Earned Incurred YTD-p6'!D23</f>
        <v>10083053.040000003</v>
      </c>
      <c r="E15" s="489"/>
      <c r="F15" s="127">
        <f>+'[7]Income Statement (pg 2)'!$B$15</f>
        <v>3666364.3599999994</v>
      </c>
      <c r="G15" s="489"/>
      <c r="H15" s="127">
        <f>+'[7]Income Statement (pg 2)'!$D$15</f>
        <v>10954919.14</v>
      </c>
      <c r="I15" s="489"/>
    </row>
    <row r="16" spans="1:9" ht="14.25">
      <c r="A16" s="18" t="s">
        <v>302</v>
      </c>
      <c r="B16" s="127">
        <f>'[8]Earned Incurred QTD-p5'!D30</f>
        <v>391930.13999999996</v>
      </c>
      <c r="C16" s="489"/>
      <c r="D16" s="127">
        <f>'[8]Earned Incurred YTD-p6'!D30</f>
        <v>1203762.75</v>
      </c>
      <c r="E16" s="489"/>
      <c r="F16" s="127">
        <f>+'[7]Income Statement (pg 2)'!$B$16</f>
        <v>411228.76</v>
      </c>
      <c r="G16" s="489"/>
      <c r="H16" s="127">
        <f>+'[7]Income Statement (pg 2)'!$D$16</f>
        <v>1134850.71</v>
      </c>
      <c r="I16" s="489"/>
    </row>
    <row r="17" spans="1:9" ht="14.25">
      <c r="A17" s="18" t="s">
        <v>303</v>
      </c>
      <c r="B17" s="127">
        <f>'[8]Earned Incurred QTD-p5'!D37</f>
        <v>502893.80000000005</v>
      </c>
      <c r="C17" s="489"/>
      <c r="D17" s="127">
        <f>+'[8]Earned Incurred YTD-p6'!D37</f>
        <v>1421253.0999999999</v>
      </c>
      <c r="E17" s="489"/>
      <c r="F17" s="127">
        <f>+'[7]Income Statement (pg 2)'!$B$17:$B$17</f>
        <v>404349.55000000005</v>
      </c>
      <c r="G17" s="489"/>
      <c r="H17" s="127">
        <f>+'[7]Income Statement (pg 2)'!$D$17</f>
        <v>1195688.7</v>
      </c>
      <c r="I17" s="489"/>
    </row>
    <row r="18" spans="1:9" ht="14.25">
      <c r="A18" s="18" t="s">
        <v>304</v>
      </c>
      <c r="B18" s="127">
        <f>'[8]Earned Incurred QTD-p5'!C39+'[8]Earned Incurred QTD-p5'!C38+'[8]Earned Incurred QTD-p5'!C43</f>
        <v>1078138.9600000002</v>
      </c>
      <c r="C18" s="489"/>
      <c r="D18" s="127">
        <f>'[8]Earned Incurred YTD-p6'!C38+'[8]Earned Incurred YTD-p6'!C39+'[8]Earned Incurred YTD-p6'!C43</f>
        <v>3156457.869999998</v>
      </c>
      <c r="E18" s="489"/>
      <c r="F18" s="127">
        <f>+'[7]Income Statement (pg 2)'!$B$18</f>
        <v>859175.9900000002</v>
      </c>
      <c r="G18" s="489"/>
      <c r="H18" s="127">
        <f>+'[7]Income Statement (pg 2)'!$D$18</f>
        <v>2663959.2600000016</v>
      </c>
      <c r="I18" s="489"/>
    </row>
    <row r="19" spans="1:9" ht="14.25">
      <c r="A19" s="18" t="s">
        <v>126</v>
      </c>
      <c r="B19" s="145">
        <f>'[8]Earned Incurred QTD-p5'!D36</f>
        <v>19861.65</v>
      </c>
      <c r="C19" s="489"/>
      <c r="D19" s="145">
        <f>'[8]Earned Incurred YTD-p6'!D36</f>
        <v>77491.65</v>
      </c>
      <c r="E19" s="489"/>
      <c r="F19" s="145">
        <f>+'[7]Income Statement (pg 2)'!$B$19</f>
        <v>11580</v>
      </c>
      <c r="G19" s="489"/>
      <c r="H19" s="145">
        <f>+'[7]Income Statement (pg 2)'!$D$19</f>
        <v>32840.51</v>
      </c>
      <c r="I19" s="489"/>
    </row>
    <row r="20" spans="1:9" ht="14.25">
      <c r="A20" s="18" t="s">
        <v>305</v>
      </c>
      <c r="C20" s="488">
        <f>SUM(B15:B19)</f>
        <v>5001651.775000001</v>
      </c>
      <c r="E20" s="488">
        <f>SUM(D15:D19)</f>
        <v>15942018.41</v>
      </c>
      <c r="G20" s="488">
        <f>SUM(F15:F19)</f>
        <v>5352698.659999999</v>
      </c>
      <c r="I20" s="488">
        <f>SUM(H15:H19)</f>
        <v>15982258.320000002</v>
      </c>
    </row>
    <row r="21" spans="3:9" ht="14.25">
      <c r="C21" s="489"/>
      <c r="E21" s="489"/>
      <c r="G21" s="489"/>
      <c r="I21" s="489"/>
    </row>
    <row r="22" spans="1:9" ht="14.25">
      <c r="A22" s="18" t="s">
        <v>409</v>
      </c>
      <c r="C22" s="488">
        <f>C12-C20</f>
        <v>-24602.775000001304</v>
      </c>
      <c r="E22" s="488">
        <f>E12-E20</f>
        <v>-1889670.4100000001</v>
      </c>
      <c r="G22" s="488">
        <f>G12-G20</f>
        <v>-1016526.6599999992</v>
      </c>
      <c r="I22" s="488">
        <f>I12-I20</f>
        <v>-3376412.320000002</v>
      </c>
    </row>
    <row r="23" spans="1:9" ht="15">
      <c r="A23" s="637"/>
      <c r="C23" s="489"/>
      <c r="E23" s="489"/>
      <c r="G23" s="489"/>
      <c r="I23" s="489"/>
    </row>
    <row r="24" spans="1:9" ht="15">
      <c r="A24" s="637" t="s">
        <v>306</v>
      </c>
      <c r="C24" s="489"/>
      <c r="E24" s="489"/>
      <c r="G24" s="489"/>
      <c r="I24" s="489"/>
    </row>
    <row r="25" spans="1:9" ht="14.25">
      <c r="A25" s="18" t="s">
        <v>307</v>
      </c>
      <c r="C25" s="489">
        <f>'[8]Earned Incurred QTD-p5'!D52</f>
        <v>26859.149999999994</v>
      </c>
      <c r="E25" s="489">
        <f>'[8]Earned Incurred YTD-p6'!D52</f>
        <v>88395.67</v>
      </c>
      <c r="G25" s="489">
        <f>+'[7]Income Statement (pg 2)'!$C$25</f>
        <v>52310.600000000006</v>
      </c>
      <c r="I25" s="489">
        <f>+'[7]Income Statement (pg 2)'!$E$25</f>
        <v>170480.6</v>
      </c>
    </row>
    <row r="26" spans="3:9" ht="14.25">
      <c r="C26" s="489"/>
      <c r="E26" s="489"/>
      <c r="G26" s="489"/>
      <c r="I26" s="489"/>
    </row>
    <row r="27" spans="1:9" ht="15" thickBot="1">
      <c r="A27" s="18" t="s">
        <v>410</v>
      </c>
      <c r="C27" s="490">
        <f>C22+C25</f>
        <v>2256.3749999986903</v>
      </c>
      <c r="E27" s="490">
        <f>E22+E25</f>
        <v>-1801274.7400000002</v>
      </c>
      <c r="G27" s="490">
        <f>G22+G25</f>
        <v>-964216.0599999992</v>
      </c>
      <c r="I27" s="490">
        <f>I22+I25</f>
        <v>-3205931.720000002</v>
      </c>
    </row>
    <row r="28" spans="1:9" ht="15">
      <c r="A28" s="637"/>
      <c r="C28" s="641"/>
      <c r="E28" s="489"/>
      <c r="G28" s="641"/>
      <c r="I28" s="489"/>
    </row>
    <row r="29" spans="1:9" ht="15">
      <c r="A29" s="637" t="s">
        <v>294</v>
      </c>
      <c r="C29" s="489"/>
      <c r="E29" s="489"/>
      <c r="G29" s="489"/>
      <c r="I29" s="489"/>
    </row>
    <row r="30" spans="1:9" ht="14.25">
      <c r="A30" s="18" t="s">
        <v>308</v>
      </c>
      <c r="C30" s="489">
        <f>'[9]Balance Sheet-p1'!$E$45</f>
        <v>-11338276.419999996</v>
      </c>
      <c r="E30" s="489">
        <f>'[9]Income Statement-p2'!$E$30</f>
        <v>-9552178.5</v>
      </c>
      <c r="G30" s="489">
        <f>+'[7]Income Statement (pg 2)'!$C$30</f>
        <v>-7427828.95</v>
      </c>
      <c r="I30" s="489">
        <v>-5217179.38</v>
      </c>
    </row>
    <row r="31" spans="1:9" ht="14.25">
      <c r="A31" s="18" t="s">
        <v>411</v>
      </c>
      <c r="B31" s="127">
        <f>C27</f>
        <v>2256.3749999986903</v>
      </c>
      <c r="C31" s="489"/>
      <c r="D31" s="127">
        <f>+'[8]Earned Incurred YTD-p6'!D54</f>
        <v>-1801274.7400000002</v>
      </c>
      <c r="E31" s="489"/>
      <c r="F31" s="127">
        <f>G27</f>
        <v>-964216.0599999992</v>
      </c>
      <c r="G31" s="489"/>
      <c r="H31" s="127">
        <f>I27</f>
        <v>-3205931.720000002</v>
      </c>
      <c r="I31" s="489"/>
    </row>
    <row r="32" spans="1:9" ht="14.25" customHeight="1">
      <c r="A32" s="18" t="s">
        <v>309</v>
      </c>
      <c r="B32" s="145">
        <v>15024.93</v>
      </c>
      <c r="D32" s="127">
        <v>32458.12</v>
      </c>
      <c r="E32" s="489"/>
      <c r="F32" s="491">
        <f>+'[7]Income Statement (pg 2)'!$B$32</f>
        <v>16655</v>
      </c>
      <c r="G32" s="489"/>
      <c r="H32" s="127">
        <f>+'[7]Income Statement (pg 2)'!$D$32</f>
        <v>-287408.34</v>
      </c>
      <c r="I32" s="489"/>
    </row>
    <row r="33" spans="1:9" ht="14.25">
      <c r="A33" s="18" t="s">
        <v>98</v>
      </c>
      <c r="B33" s="127">
        <v>0</v>
      </c>
      <c r="D33" s="127">
        <f>-40790-4979.98-26-1710</f>
        <v>-47505.979999999996</v>
      </c>
      <c r="E33" s="489"/>
      <c r="F33" s="127">
        <v>0</v>
      </c>
      <c r="H33" s="492">
        <f>+'[7]Income Statement (pg 2)'!$D$33</f>
        <v>-25.57</v>
      </c>
      <c r="I33" s="489"/>
    </row>
    <row r="34" spans="1:9" ht="14.25">
      <c r="A34" s="18" t="s">
        <v>99</v>
      </c>
      <c r="B34" s="145">
        <v>0</v>
      </c>
      <c r="C34" s="489"/>
      <c r="D34" s="145">
        <v>0</v>
      </c>
      <c r="E34" s="489"/>
      <c r="F34" s="145" t="e">
        <f>+'[10]TB09-30-02(Final)'!I931</f>
        <v>#REF!</v>
      </c>
      <c r="G34" s="489"/>
      <c r="H34" s="145">
        <f>+'[7]Income Statement (pg 2)'!$D$34</f>
        <v>335155</v>
      </c>
      <c r="I34" s="489"/>
    </row>
    <row r="35" spans="1:9" ht="14.25">
      <c r="A35" s="18" t="s">
        <v>310</v>
      </c>
      <c r="C35" s="489">
        <f>SUM(B31:B32)</f>
        <v>17281.30499999869</v>
      </c>
      <c r="E35" s="489">
        <f>SUM(D31:D32)</f>
        <v>-1768816.62</v>
      </c>
      <c r="G35" s="489">
        <f>SUM(F31:F32)</f>
        <v>-947561.0599999992</v>
      </c>
      <c r="I35" s="489">
        <f>SUM(H31:H34)</f>
        <v>-3158210.6300000018</v>
      </c>
    </row>
    <row r="36" spans="3:9" ht="14.25">
      <c r="C36" s="489"/>
      <c r="E36" s="489"/>
      <c r="G36" s="489"/>
      <c r="I36" s="489"/>
    </row>
    <row r="37" spans="1:9" ht="15.75" thickBot="1">
      <c r="A37" s="117" t="s">
        <v>253</v>
      </c>
      <c r="C37" s="557">
        <f>C30+C35</f>
        <v>-11320995.114999998</v>
      </c>
      <c r="D37" s="493"/>
      <c r="E37" s="557">
        <f>E30+E35</f>
        <v>-11320995.120000001</v>
      </c>
      <c r="G37" s="557">
        <f>G30+G35</f>
        <v>-8375390.01</v>
      </c>
      <c r="H37" s="493"/>
      <c r="I37" s="557">
        <f>I30+I35</f>
        <v>-8375390.010000002</v>
      </c>
    </row>
    <row r="38" spans="2:9" s="14" customFormat="1" ht="15" thickTop="1">
      <c r="B38" s="256"/>
      <c r="C38" s="256"/>
      <c r="D38" s="347"/>
      <c r="E38" s="256"/>
      <c r="F38" s="127"/>
      <c r="G38" s="127"/>
      <c r="H38" s="127"/>
      <c r="I38" s="127"/>
    </row>
    <row r="40" ht="14.25">
      <c r="C40" s="347"/>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794" customWidth="1"/>
    <col min="5" max="5" width="15.7109375" style="341" customWidth="1"/>
    <col min="6" max="16384" width="15.7109375" style="21" customWidth="1"/>
  </cols>
  <sheetData>
    <row r="1" spans="1:5" s="263" customFormat="1" ht="30" customHeight="1">
      <c r="A1" s="984" t="s">
        <v>278</v>
      </c>
      <c r="B1" s="985"/>
      <c r="C1" s="985"/>
      <c r="D1" s="986"/>
      <c r="E1" s="769"/>
    </row>
    <row r="2" spans="1:5" s="45" customFormat="1" ht="15" customHeight="1">
      <c r="A2" s="987"/>
      <c r="B2" s="988"/>
      <c r="C2" s="988"/>
      <c r="D2" s="989"/>
      <c r="E2" s="770"/>
    </row>
    <row r="3" spans="1:5" s="45" customFormat="1" ht="15" customHeight="1">
      <c r="A3" s="981" t="s">
        <v>241</v>
      </c>
      <c r="B3" s="982"/>
      <c r="C3" s="982"/>
      <c r="D3" s="983"/>
      <c r="E3" s="770"/>
    </row>
    <row r="4" spans="1:5" s="45" customFormat="1" ht="15" customHeight="1">
      <c r="A4" s="981" t="s">
        <v>340</v>
      </c>
      <c r="B4" s="982"/>
      <c r="C4" s="982"/>
      <c r="D4" s="983"/>
      <c r="E4" s="770"/>
    </row>
    <row r="5" spans="1:5" s="45" customFormat="1" ht="15" customHeight="1">
      <c r="A5" s="981" t="s">
        <v>5</v>
      </c>
      <c r="B5" s="982"/>
      <c r="C5" s="982"/>
      <c r="D5" s="983"/>
      <c r="E5" s="770"/>
    </row>
    <row r="6" spans="1:5" s="45" customFormat="1" ht="15" customHeight="1">
      <c r="A6" s="405"/>
      <c r="B6" s="786"/>
      <c r="C6" s="786"/>
      <c r="D6" s="787"/>
      <c r="E6" s="770"/>
    </row>
    <row r="7" spans="1:5" s="18" customFormat="1" ht="15" customHeight="1">
      <c r="A7" s="406"/>
      <c r="B7" s="786"/>
      <c r="C7" s="786"/>
      <c r="D7" s="787"/>
      <c r="E7" s="127"/>
    </row>
    <row r="8" spans="1:5" s="18" customFormat="1" ht="15" customHeight="1">
      <c r="A8" s="407" t="s">
        <v>341</v>
      </c>
      <c r="B8" s="877" t="s">
        <v>15</v>
      </c>
      <c r="C8" s="878"/>
      <c r="D8" s="879"/>
      <c r="E8" s="127"/>
    </row>
    <row r="9" spans="1:5" s="18" customFormat="1" ht="15" customHeight="1">
      <c r="A9" s="407"/>
      <c r="B9" s="880" t="s">
        <v>231</v>
      </c>
      <c r="C9" s="881"/>
      <c r="D9" s="882"/>
      <c r="E9" s="127"/>
    </row>
    <row r="10" spans="1:5" s="18" customFormat="1" ht="15" customHeight="1">
      <c r="A10" s="408"/>
      <c r="B10" s="788" t="s">
        <v>288</v>
      </c>
      <c r="C10" s="789"/>
      <c r="D10" s="895"/>
      <c r="E10" s="127"/>
    </row>
    <row r="11" spans="1:5" s="18" customFormat="1" ht="15" customHeight="1">
      <c r="A11" s="409" t="s">
        <v>342</v>
      </c>
      <c r="B11" s="509"/>
      <c r="C11" s="477">
        <f>'Premiums QTD-5'!$G$12</f>
        <v>3664847</v>
      </c>
      <c r="D11" s="895"/>
      <c r="E11" s="127"/>
    </row>
    <row r="12" spans="1:5" s="18" customFormat="1" ht="15" customHeight="1">
      <c r="A12" s="409"/>
      <c r="B12" s="509"/>
      <c r="C12" s="485"/>
      <c r="D12" s="895"/>
      <c r="E12" s="127"/>
    </row>
    <row r="13" spans="1:5" s="18" customFormat="1" ht="15" customHeight="1">
      <c r="A13" s="410" t="s">
        <v>343</v>
      </c>
      <c r="B13" s="509">
        <f>'Premiums QTD-5'!$G$18</f>
        <v>7855325</v>
      </c>
      <c r="C13" s="122"/>
      <c r="D13" s="895"/>
      <c r="E13" s="127"/>
    </row>
    <row r="14" spans="1:5" s="18" customFormat="1" ht="15" customHeight="1">
      <c r="A14" s="410" t="s">
        <v>362</v>
      </c>
      <c r="B14" s="511">
        <f>'Premiums QTD-5'!$G$24</f>
        <v>8407132.85</v>
      </c>
      <c r="C14" s="122"/>
      <c r="D14" s="895"/>
      <c r="E14" s="127"/>
    </row>
    <row r="15" spans="1:5" s="18" customFormat="1" ht="15" customHeight="1">
      <c r="A15" s="410" t="s">
        <v>363</v>
      </c>
      <c r="B15" s="509"/>
      <c r="C15" s="512">
        <f>B14-B13</f>
        <v>551807.8499999996</v>
      </c>
      <c r="D15" s="895"/>
      <c r="E15" s="127"/>
    </row>
    <row r="16" spans="1:5" s="18" customFormat="1" ht="15" customHeight="1">
      <c r="A16" s="409" t="s">
        <v>364</v>
      </c>
      <c r="B16" s="509"/>
      <c r="C16" s="122"/>
      <c r="D16" s="897">
        <f>C11+C15</f>
        <v>4216654.85</v>
      </c>
      <c r="E16" s="127"/>
    </row>
    <row r="17" spans="1:4" s="18" customFormat="1" ht="15" customHeight="1">
      <c r="A17" s="410" t="s">
        <v>365</v>
      </c>
      <c r="B17" s="509"/>
      <c r="C17" s="122">
        <f>'[11]Loss Expenses Paid QTD-10'!$E$42</f>
        <v>2784947</v>
      </c>
      <c r="D17" s="895"/>
    </row>
    <row r="18" spans="1:4" s="18" customFormat="1" ht="15" customHeight="1">
      <c r="A18" s="410" t="s">
        <v>104</v>
      </c>
      <c r="B18" s="509"/>
      <c r="C18" s="512">
        <f>-'[12]1Q08 Trial Balance'!$D$300</f>
        <v>5282</v>
      </c>
      <c r="D18" s="895"/>
    </row>
    <row r="19" spans="1:5" s="18" customFormat="1" ht="15" customHeight="1">
      <c r="A19" s="409" t="s">
        <v>367</v>
      </c>
      <c r="B19" s="509"/>
      <c r="C19" s="122">
        <f>C17-C18</f>
        <v>2779665</v>
      </c>
      <c r="D19" s="895"/>
      <c r="E19" s="127"/>
    </row>
    <row r="20" spans="1:5" s="18" customFormat="1" ht="15" customHeight="1">
      <c r="A20" s="410" t="s">
        <v>368</v>
      </c>
      <c r="B20" s="509">
        <f>'Losses Incurred QTD-6'!G18+'Losses Incurred QTD-6'!G24</f>
        <v>4255015</v>
      </c>
      <c r="C20" s="122" t="s">
        <v>288</v>
      </c>
      <c r="D20" s="895"/>
      <c r="E20" s="127"/>
    </row>
    <row r="21" spans="1:5" s="18" customFormat="1" ht="15" customHeight="1">
      <c r="A21" s="410" t="s">
        <v>369</v>
      </c>
      <c r="B21" s="511">
        <f>'Losses Incurred QTD-6'!G31</f>
        <v>3965422.6599999997</v>
      </c>
      <c r="C21" s="122"/>
      <c r="D21" s="895"/>
      <c r="E21" s="127"/>
    </row>
    <row r="22" spans="1:5" s="18" customFormat="1" ht="15" customHeight="1">
      <c r="A22" s="410" t="s">
        <v>370</v>
      </c>
      <c r="B22" s="514"/>
      <c r="C22" s="512">
        <f>B20-B21</f>
        <v>289592.3400000003</v>
      </c>
      <c r="D22" s="895"/>
      <c r="E22" s="127"/>
    </row>
    <row r="23" spans="1:6" s="18" customFormat="1" ht="15" customHeight="1">
      <c r="A23" s="409" t="s">
        <v>371</v>
      </c>
      <c r="B23" s="509"/>
      <c r="C23" s="122"/>
      <c r="D23" s="895">
        <f>C19+C22</f>
        <v>3069257.3400000003</v>
      </c>
      <c r="E23" s="122"/>
      <c r="F23" s="114"/>
    </row>
    <row r="24" spans="1:5" s="18" customFormat="1" ht="15" customHeight="1">
      <c r="A24" s="410" t="s">
        <v>372</v>
      </c>
      <c r="B24" s="509"/>
      <c r="C24" s="122">
        <f>'[11]Loss Expenses Paid QTD-10'!$C$42</f>
        <v>176521</v>
      </c>
      <c r="D24" s="895"/>
      <c r="E24" s="334"/>
    </row>
    <row r="25" spans="1:5" s="18" customFormat="1" ht="15" customHeight="1">
      <c r="A25" s="410" t="s">
        <v>373</v>
      </c>
      <c r="B25" s="509"/>
      <c r="C25" s="512">
        <f>'[11]Loss Expenses Paid QTD-10'!$I$42</f>
        <v>172458</v>
      </c>
      <c r="D25" s="895"/>
      <c r="E25" s="334"/>
    </row>
    <row r="26" spans="1:5" s="18" customFormat="1" ht="15" customHeight="1">
      <c r="A26" s="409" t="s">
        <v>374</v>
      </c>
      <c r="B26" s="509"/>
      <c r="C26" s="122">
        <f>C24+C25</f>
        <v>348979</v>
      </c>
      <c r="D26" s="895"/>
      <c r="E26" s="122"/>
    </row>
    <row r="27" spans="1:5" s="18" customFormat="1" ht="15" customHeight="1">
      <c r="A27" s="410" t="s">
        <v>375</v>
      </c>
      <c r="B27" s="509">
        <f>'Loss Expenses QTD-7'!$G$18</f>
        <v>461915</v>
      </c>
      <c r="C27" s="122"/>
      <c r="D27" s="895"/>
      <c r="E27" s="334"/>
    </row>
    <row r="28" spans="1:5" s="18" customFormat="1" ht="15" customHeight="1">
      <c r="A28" s="410" t="s">
        <v>376</v>
      </c>
      <c r="B28" s="511">
        <f>'Loss Expenses QTD-7'!$G$24</f>
        <v>462641.17</v>
      </c>
      <c r="C28" s="122"/>
      <c r="D28" s="895"/>
      <c r="E28" s="122"/>
    </row>
    <row r="29" spans="1:7" s="18" customFormat="1" ht="15" customHeight="1">
      <c r="A29" s="410" t="s">
        <v>377</v>
      </c>
      <c r="B29" s="509"/>
      <c r="C29" s="913">
        <f>B27-B28</f>
        <v>-726.1699999999837</v>
      </c>
      <c r="D29" s="895"/>
      <c r="E29" s="334"/>
      <c r="G29" s="114"/>
    </row>
    <row r="30" spans="1:6" s="18" customFormat="1" ht="15" customHeight="1">
      <c r="A30" s="409" t="s">
        <v>378</v>
      </c>
      <c r="B30" s="509"/>
      <c r="C30" s="122"/>
      <c r="D30" s="896">
        <f>C26+C29</f>
        <v>348252.83</v>
      </c>
      <c r="E30" s="122"/>
      <c r="F30" s="114"/>
    </row>
    <row r="31" spans="1:6" s="18" customFormat="1" ht="15" customHeight="1">
      <c r="A31" s="409" t="s">
        <v>379</v>
      </c>
      <c r="B31" s="509"/>
      <c r="C31" s="122"/>
      <c r="D31" s="898">
        <f>D23+D30</f>
        <v>3417510.1700000004</v>
      </c>
      <c r="E31" s="122"/>
      <c r="F31" s="114"/>
    </row>
    <row r="32" spans="1:6" s="18" customFormat="1" ht="15" customHeight="1">
      <c r="A32" s="410" t="s">
        <v>380</v>
      </c>
      <c r="B32" s="509"/>
      <c r="C32" s="122">
        <f>22678.73-7016.67</f>
        <v>15662.06</v>
      </c>
      <c r="D32" s="895"/>
      <c r="E32" s="334"/>
      <c r="F32" s="114"/>
    </row>
    <row r="33" spans="1:7" s="18" customFormat="1" ht="15" customHeight="1">
      <c r="A33" s="410" t="s">
        <v>381</v>
      </c>
      <c r="B33" s="509">
        <f>-'[12]1Q08 Trial Balance'!$D$156</f>
        <v>34955</v>
      </c>
      <c r="C33" s="122"/>
      <c r="D33" s="895"/>
      <c r="E33" s="127"/>
      <c r="G33" s="114"/>
    </row>
    <row r="34" spans="1:7" s="18" customFormat="1" ht="15" customHeight="1">
      <c r="A34" s="410" t="s">
        <v>382</v>
      </c>
      <c r="B34" s="511">
        <v>42577.28</v>
      </c>
      <c r="C34" s="122" t="s">
        <v>288</v>
      </c>
      <c r="D34" s="895"/>
      <c r="E34" s="127"/>
      <c r="G34" s="114"/>
    </row>
    <row r="35" spans="1:5" s="18" customFormat="1" ht="15" customHeight="1">
      <c r="A35" s="410" t="s">
        <v>87</v>
      </c>
      <c r="B35" s="509"/>
      <c r="C35" s="913">
        <f>B33-B34</f>
        <v>-7622.279999999999</v>
      </c>
      <c r="D35" s="895"/>
      <c r="E35" s="127"/>
    </row>
    <row r="36" spans="1:6" s="18" customFormat="1" ht="15" customHeight="1">
      <c r="A36" s="409" t="s">
        <v>88</v>
      </c>
      <c r="B36" s="509"/>
      <c r="C36" s="122" t="s">
        <v>288</v>
      </c>
      <c r="D36" s="895">
        <f>C32+C35</f>
        <v>8039.780000000001</v>
      </c>
      <c r="E36" s="127"/>
      <c r="F36" s="114"/>
    </row>
    <row r="37" spans="1:5" s="18" customFormat="1" ht="15" customHeight="1">
      <c r="A37" s="410" t="s">
        <v>485</v>
      </c>
      <c r="B37" s="509"/>
      <c r="C37" s="122">
        <f>'[12]1Q08 Trial Balance'!$D$433</f>
        <v>319719</v>
      </c>
      <c r="D37" s="895"/>
      <c r="E37" s="127"/>
    </row>
    <row r="38" spans="1:5" s="18" customFormat="1" ht="15" customHeight="1">
      <c r="A38" s="410" t="s">
        <v>464</v>
      </c>
      <c r="B38" s="509"/>
      <c r="C38" s="122">
        <f>'[12]1Q08 Trial Balance'!$D$444</f>
        <v>49719</v>
      </c>
      <c r="D38" s="895"/>
      <c r="E38" s="771"/>
    </row>
    <row r="39" spans="1:6" s="18" customFormat="1" ht="15" customHeight="1">
      <c r="A39" s="410" t="s">
        <v>173</v>
      </c>
      <c r="B39" s="509"/>
      <c r="C39" s="512">
        <f>'[12]1Q08 Trial Balance'!$D$752-C43</f>
        <v>1128573.54</v>
      </c>
      <c r="D39" s="895"/>
      <c r="E39" s="771"/>
      <c r="F39" s="127"/>
    </row>
    <row r="40" spans="1:6" s="18" customFormat="1" ht="15" customHeight="1">
      <c r="A40" s="409" t="s">
        <v>174</v>
      </c>
      <c r="B40" s="509"/>
      <c r="C40" s="122">
        <f>SUM(C37:C39)</f>
        <v>1498011.54</v>
      </c>
      <c r="D40" s="895"/>
      <c r="E40" s="771"/>
      <c r="F40" s="127"/>
    </row>
    <row r="41" spans="1:5" s="18" customFormat="1" ht="15" customHeight="1">
      <c r="A41" s="410" t="s">
        <v>381</v>
      </c>
      <c r="B41" s="509">
        <f>-'[12]1Q08 Trial Balance'!$D$175</f>
        <v>223062</v>
      </c>
      <c r="C41" s="122"/>
      <c r="D41" s="895"/>
      <c r="E41" s="771"/>
    </row>
    <row r="42" spans="1:5" s="18" customFormat="1" ht="15" customHeight="1">
      <c r="A42" s="410" t="s">
        <v>382</v>
      </c>
      <c r="B42" s="511">
        <f>188316.54-1</f>
        <v>188315.54</v>
      </c>
      <c r="C42" s="122" t="s">
        <v>288</v>
      </c>
      <c r="D42" s="895"/>
      <c r="E42" s="127"/>
    </row>
    <row r="43" spans="1:5" s="18" customFormat="1" ht="15" customHeight="1">
      <c r="A43" s="410" t="s">
        <v>175</v>
      </c>
      <c r="B43" s="509"/>
      <c r="C43" s="913">
        <f>+B41-B42</f>
        <v>34746.45999999999</v>
      </c>
      <c r="D43" s="895"/>
      <c r="E43" s="127"/>
    </row>
    <row r="44" spans="1:6" s="18" customFormat="1" ht="15" customHeight="1">
      <c r="A44" s="409" t="s">
        <v>242</v>
      </c>
      <c r="B44" s="509"/>
      <c r="C44" s="122"/>
      <c r="D44" s="896">
        <f>SUM(C40:C43)</f>
        <v>1532758</v>
      </c>
      <c r="E44" s="127"/>
      <c r="F44" s="127"/>
    </row>
    <row r="45" spans="1:6" s="18" customFormat="1" ht="15" customHeight="1">
      <c r="A45" s="409" t="s">
        <v>176</v>
      </c>
      <c r="B45" s="509"/>
      <c r="C45" s="122"/>
      <c r="D45" s="899">
        <f>SUM(D36:D44)</f>
        <v>1540797.78</v>
      </c>
      <c r="E45" s="127"/>
      <c r="F45" s="120"/>
    </row>
    <row r="46" spans="1:6" s="18" customFormat="1" ht="15" customHeight="1">
      <c r="A46" s="409" t="s">
        <v>177</v>
      </c>
      <c r="B46" s="509"/>
      <c r="C46" s="122"/>
      <c r="D46" s="897">
        <f>+D31+D45</f>
        <v>4958307.95</v>
      </c>
      <c r="E46" s="127"/>
      <c r="F46" s="120"/>
    </row>
    <row r="47" spans="1:6" s="18" customFormat="1" ht="15" customHeight="1">
      <c r="A47" s="409" t="s">
        <v>0</v>
      </c>
      <c r="B47" s="509"/>
      <c r="C47" s="122"/>
      <c r="D47" s="914">
        <f>D16-D31-D45</f>
        <v>-741653.1000000008</v>
      </c>
      <c r="E47" s="48"/>
      <c r="F47" s="127"/>
    </row>
    <row r="48" spans="1:6" s="18" customFormat="1" ht="15" customHeight="1">
      <c r="A48" s="410" t="s">
        <v>224</v>
      </c>
      <c r="B48" s="509"/>
      <c r="C48" s="122">
        <f>-'[12]1Q08 Trial Balance'!$D$277-C51</f>
        <v>171854.71000000002</v>
      </c>
      <c r="D48" s="895"/>
      <c r="E48" s="114"/>
      <c r="F48" s="114"/>
    </row>
    <row r="49" spans="1:5" s="18" customFormat="1" ht="15" customHeight="1">
      <c r="A49" s="410" t="s">
        <v>398</v>
      </c>
      <c r="B49" s="509">
        <f>'[12]1Q08 Trial Balance'!$D$24</f>
        <v>82621</v>
      </c>
      <c r="C49" s="122"/>
      <c r="D49" s="895"/>
      <c r="E49" s="127"/>
    </row>
    <row r="50" spans="1:5" s="18" customFormat="1" ht="15" customHeight="1">
      <c r="A50" s="410" t="s">
        <v>399</v>
      </c>
      <c r="B50" s="511">
        <v>94328.71</v>
      </c>
      <c r="C50" s="122" t="s">
        <v>288</v>
      </c>
      <c r="D50" s="895"/>
      <c r="E50" s="127"/>
    </row>
    <row r="51" spans="1:5" s="18" customFormat="1" ht="15" customHeight="1">
      <c r="A51" s="410" t="s">
        <v>400</v>
      </c>
      <c r="B51" s="509"/>
      <c r="C51" s="913">
        <f>B49-B50</f>
        <v>-11707.710000000006</v>
      </c>
      <c r="D51" s="895"/>
      <c r="E51" s="127"/>
    </row>
    <row r="52" spans="1:5" s="18" customFormat="1" ht="15" customHeight="1">
      <c r="A52" s="409" t="s">
        <v>225</v>
      </c>
      <c r="B52" s="509"/>
      <c r="C52" s="122"/>
      <c r="D52" s="896">
        <f>C48+C51</f>
        <v>160147</v>
      </c>
      <c r="E52" s="127"/>
    </row>
    <row r="53" spans="1:6" s="18" customFormat="1" ht="15" customHeight="1">
      <c r="A53" s="411"/>
      <c r="B53" s="509"/>
      <c r="C53" s="122"/>
      <c r="D53" s="895"/>
      <c r="E53" s="127"/>
      <c r="F53" s="114"/>
    </row>
    <row r="54" spans="1:6" s="18" customFormat="1" ht="15" customHeight="1">
      <c r="A54" s="412" t="s">
        <v>492</v>
      </c>
      <c r="B54" s="511"/>
      <c r="C54" s="512"/>
      <c r="D54" s="915">
        <f>D47+D52</f>
        <v>-581506.1000000008</v>
      </c>
      <c r="E54" s="48"/>
      <c r="F54" s="340"/>
    </row>
    <row r="55" spans="1:5" s="18" customFormat="1" ht="15" customHeight="1">
      <c r="A55" s="413"/>
      <c r="B55" s="791"/>
      <c r="C55" s="791"/>
      <c r="D55" s="930"/>
      <c r="E55" s="25"/>
    </row>
    <row r="56" spans="1:5" s="18" customFormat="1" ht="15" customHeight="1">
      <c r="A56" s="413"/>
      <c r="B56" s="791"/>
      <c r="C56" s="791"/>
      <c r="D56" s="791"/>
      <c r="E56" s="791"/>
    </row>
    <row r="57" spans="1:5" s="18" customFormat="1" ht="15" customHeight="1">
      <c r="A57" s="47"/>
      <c r="B57" s="790"/>
      <c r="C57" s="790"/>
      <c r="D57" s="790"/>
      <c r="E57" s="127"/>
    </row>
    <row r="58" spans="1:5" s="18" customFormat="1" ht="15" customHeight="1">
      <c r="A58" s="47"/>
      <c r="B58" s="790"/>
      <c r="C58" s="790"/>
      <c r="D58" s="790"/>
      <c r="E58" s="127"/>
    </row>
    <row r="59" spans="1:5" s="18" customFormat="1" ht="15" customHeight="1">
      <c r="A59" s="47"/>
      <c r="B59" s="790"/>
      <c r="C59" s="790"/>
      <c r="D59" s="790"/>
      <c r="E59" s="127"/>
    </row>
    <row r="60" spans="1:5" s="18" customFormat="1" ht="15" customHeight="1">
      <c r="A60" s="47"/>
      <c r="B60" s="790"/>
      <c r="C60" s="790"/>
      <c r="D60" s="790"/>
      <c r="E60" s="127"/>
    </row>
    <row r="61" spans="1:5" s="18" customFormat="1" ht="15" customHeight="1">
      <c r="A61" s="47"/>
      <c r="B61" s="790"/>
      <c r="C61" s="790"/>
      <c r="D61" s="790"/>
      <c r="E61" s="127"/>
    </row>
    <row r="62" spans="1:5" s="18" customFormat="1" ht="15" customHeight="1">
      <c r="A62" s="47"/>
      <c r="B62" s="790"/>
      <c r="C62" s="790"/>
      <c r="D62" s="790"/>
      <c r="E62" s="127"/>
    </row>
    <row r="63" spans="1:5" s="18" customFormat="1" ht="15" customHeight="1">
      <c r="A63" s="47"/>
      <c r="B63" s="790"/>
      <c r="C63" s="790"/>
      <c r="D63" s="790"/>
      <c r="E63" s="127"/>
    </row>
    <row r="64" spans="1:5" s="18" customFormat="1" ht="15" customHeight="1">
      <c r="A64" s="47"/>
      <c r="B64" s="792"/>
      <c r="C64" s="790"/>
      <c r="D64" s="790"/>
      <c r="E64" s="127"/>
    </row>
    <row r="65" spans="1:5" s="18" customFormat="1" ht="15" customHeight="1">
      <c r="A65" s="47"/>
      <c r="B65" s="792"/>
      <c r="C65" s="790"/>
      <c r="D65" s="790"/>
      <c r="E65" s="127"/>
    </row>
    <row r="66" spans="1:5" s="18" customFormat="1" ht="15" customHeight="1">
      <c r="A66" s="47"/>
      <c r="B66" s="792"/>
      <c r="C66" s="790"/>
      <c r="D66" s="790"/>
      <c r="E66" s="127"/>
    </row>
    <row r="67" spans="1:5" s="18" customFormat="1" ht="15" customHeight="1">
      <c r="A67" s="47"/>
      <c r="B67" s="792"/>
      <c r="C67" s="838"/>
      <c r="D67" s="790"/>
      <c r="E67" s="127"/>
    </row>
    <row r="68" spans="1:5" s="18" customFormat="1" ht="15" customHeight="1">
      <c r="A68" s="47"/>
      <c r="B68" s="792"/>
      <c r="C68" s="790"/>
      <c r="D68" s="790"/>
      <c r="E68" s="127"/>
    </row>
    <row r="69" spans="2:5" s="18" customFormat="1" ht="15" customHeight="1">
      <c r="B69" s="792"/>
      <c r="C69" s="790"/>
      <c r="D69" s="790"/>
      <c r="E69" s="127"/>
    </row>
    <row r="70" spans="1:5" s="18" customFormat="1" ht="15" customHeight="1">
      <c r="A70" s="47"/>
      <c r="B70" s="792"/>
      <c r="C70" s="790"/>
      <c r="D70" s="790"/>
      <c r="E70" s="127"/>
    </row>
    <row r="71" spans="1:5" s="18" customFormat="1" ht="15" customHeight="1">
      <c r="A71" s="47"/>
      <c r="B71" s="792"/>
      <c r="C71" s="790"/>
      <c r="D71" s="790"/>
      <c r="E71" s="127"/>
    </row>
    <row r="72" spans="1:5" s="18" customFormat="1" ht="15" customHeight="1">
      <c r="A72" s="47"/>
      <c r="B72" s="793"/>
      <c r="C72" s="790"/>
      <c r="D72" s="790"/>
      <c r="E72" s="127"/>
    </row>
    <row r="73" spans="1:5" s="18" customFormat="1" ht="15" customHeight="1">
      <c r="A73" s="47"/>
      <c r="B73" s="790"/>
      <c r="C73" s="838"/>
      <c r="D73" s="790"/>
      <c r="E73" s="127"/>
    </row>
    <row r="74" spans="1:5" s="18" customFormat="1" ht="15" customHeight="1">
      <c r="A74" s="47"/>
      <c r="B74" s="790"/>
      <c r="C74" s="790"/>
      <c r="D74" s="790"/>
      <c r="E74" s="127"/>
    </row>
    <row r="75" spans="1:5" s="18" customFormat="1" ht="15" customHeight="1">
      <c r="A75" s="47"/>
      <c r="B75" s="790"/>
      <c r="C75" s="790"/>
      <c r="D75" s="790"/>
      <c r="E75" s="127"/>
    </row>
    <row r="76" spans="1:5" s="18" customFormat="1" ht="15" customHeight="1">
      <c r="A76" s="47"/>
      <c r="B76" s="790"/>
      <c r="C76" s="790"/>
      <c r="D76" s="790"/>
      <c r="E76" s="127"/>
    </row>
    <row r="77" spans="1:5" s="18" customFormat="1" ht="15" customHeight="1">
      <c r="A77" s="47"/>
      <c r="B77" s="790"/>
      <c r="C77" s="790"/>
      <c r="D77" s="790"/>
      <c r="E77" s="127"/>
    </row>
    <row r="78" spans="1:5" s="18" customFormat="1" ht="15" customHeight="1">
      <c r="A78" s="47"/>
      <c r="B78" s="790"/>
      <c r="C78" s="790"/>
      <c r="D78" s="790"/>
      <c r="E78" s="127"/>
    </row>
    <row r="79" spans="1:5" s="18" customFormat="1" ht="15" customHeight="1">
      <c r="A79" s="47"/>
      <c r="B79" s="790"/>
      <c r="C79" s="790"/>
      <c r="D79" s="790"/>
      <c r="E79" s="127"/>
    </row>
    <row r="80" spans="1:5" s="18" customFormat="1" ht="15" customHeight="1">
      <c r="A80" s="47"/>
      <c r="B80" s="790"/>
      <c r="C80" s="790"/>
      <c r="D80" s="790"/>
      <c r="E80" s="127"/>
    </row>
    <row r="81" spans="1:5" s="18" customFormat="1" ht="15" customHeight="1">
      <c r="A81" s="47"/>
      <c r="B81" s="790"/>
      <c r="C81" s="790"/>
      <c r="D81" s="790"/>
      <c r="E81" s="127"/>
    </row>
    <row r="82" spans="1:5" s="18" customFormat="1" ht="15" customHeight="1">
      <c r="A82" s="47"/>
      <c r="B82" s="790"/>
      <c r="C82" s="790"/>
      <c r="D82" s="790"/>
      <c r="E82" s="127"/>
    </row>
    <row r="83" spans="1:5" s="18" customFormat="1" ht="15" customHeight="1">
      <c r="A83" s="47"/>
      <c r="B83" s="790"/>
      <c r="C83" s="790"/>
      <c r="D83" s="790"/>
      <c r="E83" s="127"/>
    </row>
    <row r="84" spans="1:5" s="18" customFormat="1" ht="15" customHeight="1">
      <c r="A84" s="47"/>
      <c r="B84" s="790"/>
      <c r="C84" s="790"/>
      <c r="D84" s="790"/>
      <c r="E84" s="127"/>
    </row>
    <row r="85" spans="1:5" s="18" customFormat="1" ht="15" customHeight="1">
      <c r="A85" s="47"/>
      <c r="B85" s="790"/>
      <c r="C85" s="790"/>
      <c r="D85" s="790"/>
      <c r="E85" s="127"/>
    </row>
    <row r="86" spans="1:5" s="18" customFormat="1" ht="15" customHeight="1">
      <c r="A86" s="47"/>
      <c r="B86" s="790"/>
      <c r="C86" s="790"/>
      <c r="D86" s="790"/>
      <c r="E86" s="127"/>
    </row>
    <row r="87" spans="1:5" s="18" customFormat="1" ht="15" customHeight="1">
      <c r="A87" s="47"/>
      <c r="B87" s="790"/>
      <c r="C87" s="790"/>
      <c r="D87" s="790"/>
      <c r="E87" s="127"/>
    </row>
    <row r="88" spans="1:5" s="18" customFormat="1" ht="15" customHeight="1">
      <c r="A88" s="47"/>
      <c r="B88" s="790"/>
      <c r="C88" s="790"/>
      <c r="D88" s="790"/>
      <c r="E88" s="127"/>
    </row>
    <row r="89" spans="1:5" s="18" customFormat="1" ht="15" customHeight="1">
      <c r="A89" s="47"/>
      <c r="B89" s="790"/>
      <c r="C89" s="793"/>
      <c r="D89" s="793"/>
      <c r="E89" s="127"/>
    </row>
    <row r="90" spans="1:5" s="18" customFormat="1" ht="15" customHeight="1">
      <c r="A90" s="47"/>
      <c r="B90" s="790"/>
      <c r="C90" s="793"/>
      <c r="D90" s="793"/>
      <c r="E90" s="127"/>
    </row>
    <row r="91" spans="1:5" s="18" customFormat="1" ht="15" customHeight="1">
      <c r="A91" s="47"/>
      <c r="B91" s="790"/>
      <c r="C91" s="793"/>
      <c r="D91" s="793"/>
      <c r="E91" s="127"/>
    </row>
    <row r="92" spans="1:5" s="18" customFormat="1" ht="15" customHeight="1">
      <c r="A92" s="47"/>
      <c r="B92" s="793"/>
      <c r="C92" s="793"/>
      <c r="D92" s="793"/>
      <c r="E92" s="127"/>
    </row>
    <row r="93" spans="1:5" s="18" customFormat="1" ht="15" customHeight="1">
      <c r="A93" s="47"/>
      <c r="B93" s="793"/>
      <c r="C93" s="793"/>
      <c r="D93" s="793"/>
      <c r="E93" s="127"/>
    </row>
    <row r="94" spans="1:5" s="18" customFormat="1" ht="15" customHeight="1">
      <c r="A94" s="47"/>
      <c r="B94" s="793"/>
      <c r="C94" s="793"/>
      <c r="D94" s="793"/>
      <c r="E94" s="127"/>
    </row>
    <row r="95" spans="1:5" s="18" customFormat="1" ht="15" customHeight="1">
      <c r="A95" s="47"/>
      <c r="B95" s="793"/>
      <c r="C95" s="793"/>
      <c r="D95" s="793"/>
      <c r="E95" s="127"/>
    </row>
    <row r="96" spans="1:5" s="18" customFormat="1" ht="15" customHeight="1">
      <c r="A96" s="47"/>
      <c r="B96" s="793"/>
      <c r="C96" s="793"/>
      <c r="D96" s="793"/>
      <c r="E96" s="127"/>
    </row>
    <row r="97" spans="1:5" s="18" customFormat="1" ht="15" customHeight="1">
      <c r="A97" s="47"/>
      <c r="B97" s="793"/>
      <c r="C97" s="793"/>
      <c r="D97" s="793"/>
      <c r="E97" s="127"/>
    </row>
    <row r="98" spans="1:5" s="18" customFormat="1" ht="15" customHeight="1">
      <c r="A98" s="47"/>
      <c r="B98" s="793"/>
      <c r="C98" s="793"/>
      <c r="D98" s="793"/>
      <c r="E98" s="127"/>
    </row>
    <row r="99" spans="1:5" s="18" customFormat="1" ht="15" customHeight="1">
      <c r="A99" s="47"/>
      <c r="B99" s="793"/>
      <c r="C99" s="793"/>
      <c r="D99" s="793"/>
      <c r="E99" s="127"/>
    </row>
    <row r="100" spans="1:5" s="18" customFormat="1" ht="15" customHeight="1">
      <c r="A100" s="47"/>
      <c r="B100" s="793"/>
      <c r="C100" s="793"/>
      <c r="D100" s="793"/>
      <c r="E100" s="127"/>
    </row>
    <row r="101" spans="1:5" s="18" customFormat="1" ht="15" customHeight="1">
      <c r="A101" s="47"/>
      <c r="B101" s="793"/>
      <c r="C101" s="793"/>
      <c r="D101" s="793"/>
      <c r="E101" s="127"/>
    </row>
    <row r="102" spans="1:5" s="18" customFormat="1" ht="15" customHeight="1">
      <c r="A102" s="47"/>
      <c r="B102" s="793"/>
      <c r="C102" s="793"/>
      <c r="D102" s="793"/>
      <c r="E102" s="127"/>
    </row>
    <row r="103" spans="1:5" s="18" customFormat="1" ht="15" customHeight="1">
      <c r="A103" s="47"/>
      <c r="B103" s="793"/>
      <c r="C103" s="793"/>
      <c r="D103" s="793"/>
      <c r="E103" s="127"/>
    </row>
    <row r="104" spans="1:5" s="18" customFormat="1" ht="15" customHeight="1">
      <c r="A104" s="47"/>
      <c r="B104" s="793"/>
      <c r="C104" s="793"/>
      <c r="D104" s="793"/>
      <c r="E104" s="127"/>
    </row>
    <row r="105" spans="1:5" s="18" customFormat="1" ht="15" customHeight="1">
      <c r="A105" s="47"/>
      <c r="B105" s="793"/>
      <c r="C105" s="793"/>
      <c r="D105" s="793"/>
      <c r="E105" s="127"/>
    </row>
    <row r="106" spans="1:5" s="18" customFormat="1" ht="15" customHeight="1">
      <c r="A106" s="47"/>
      <c r="B106" s="793"/>
      <c r="C106" s="793"/>
      <c r="D106" s="793"/>
      <c r="E106" s="127"/>
    </row>
    <row r="107" spans="1:5" s="18" customFormat="1" ht="15" customHeight="1">
      <c r="A107" s="47"/>
      <c r="B107" s="793"/>
      <c r="C107" s="793"/>
      <c r="D107" s="793"/>
      <c r="E107" s="127"/>
    </row>
    <row r="108" spans="1:5" s="18" customFormat="1" ht="15" customHeight="1">
      <c r="A108" s="47"/>
      <c r="B108" s="793"/>
      <c r="C108" s="793"/>
      <c r="D108" s="793"/>
      <c r="E108" s="127"/>
    </row>
    <row r="109" spans="1:5" s="18" customFormat="1" ht="15" customHeight="1">
      <c r="A109" s="47"/>
      <c r="B109" s="793"/>
      <c r="C109" s="793"/>
      <c r="D109" s="793"/>
      <c r="E109" s="127"/>
    </row>
    <row r="110" spans="1:5" s="18" customFormat="1" ht="15" customHeight="1">
      <c r="A110" s="47"/>
      <c r="B110" s="793"/>
      <c r="C110" s="793"/>
      <c r="D110" s="793"/>
      <c r="E110" s="127"/>
    </row>
    <row r="111" spans="1:5" s="18" customFormat="1" ht="15" customHeight="1">
      <c r="A111" s="47"/>
      <c r="B111" s="793"/>
      <c r="C111" s="793"/>
      <c r="D111" s="793"/>
      <c r="E111" s="127"/>
    </row>
    <row r="112" spans="1:5" s="18" customFormat="1" ht="15" customHeight="1">
      <c r="A112" s="47"/>
      <c r="B112" s="793"/>
      <c r="C112" s="793"/>
      <c r="D112" s="793"/>
      <c r="E112" s="127"/>
    </row>
    <row r="113" spans="1:5" s="18" customFormat="1" ht="15" customHeight="1">
      <c r="A113" s="47"/>
      <c r="B113" s="793"/>
      <c r="C113" s="793"/>
      <c r="D113" s="793"/>
      <c r="E113" s="127"/>
    </row>
    <row r="114" spans="1:5" s="18" customFormat="1" ht="15" customHeight="1">
      <c r="A114" s="47"/>
      <c r="B114" s="793"/>
      <c r="C114" s="793"/>
      <c r="D114" s="793"/>
      <c r="E114" s="127"/>
    </row>
    <row r="115" spans="1:5" s="18" customFormat="1" ht="15" customHeight="1">
      <c r="A115" s="47"/>
      <c r="B115" s="793"/>
      <c r="C115" s="793"/>
      <c r="D115" s="793"/>
      <c r="E115" s="127"/>
    </row>
    <row r="116" spans="1:5" s="18" customFormat="1" ht="15" customHeight="1">
      <c r="A116" s="47"/>
      <c r="B116" s="793"/>
      <c r="C116" s="793"/>
      <c r="D116" s="793"/>
      <c r="E116" s="127"/>
    </row>
    <row r="117" spans="1:5" s="18" customFormat="1" ht="15" customHeight="1">
      <c r="A117" s="47"/>
      <c r="B117" s="793"/>
      <c r="C117" s="793"/>
      <c r="D117" s="793"/>
      <c r="E117" s="127"/>
    </row>
    <row r="118" spans="1:5" s="18" customFormat="1" ht="15" customHeight="1">
      <c r="A118" s="47"/>
      <c r="B118" s="793"/>
      <c r="C118" s="793"/>
      <c r="D118" s="793"/>
      <c r="E118" s="127"/>
    </row>
    <row r="119" spans="1:5" s="18" customFormat="1" ht="15" customHeight="1">
      <c r="A119" s="47"/>
      <c r="B119" s="793"/>
      <c r="C119" s="793"/>
      <c r="D119" s="793"/>
      <c r="E119" s="127"/>
    </row>
    <row r="120" spans="1:5" s="18" customFormat="1" ht="15" customHeight="1">
      <c r="A120" s="47"/>
      <c r="B120" s="793"/>
      <c r="C120" s="793"/>
      <c r="D120" s="793"/>
      <c r="E120" s="127"/>
    </row>
    <row r="121" spans="1:5" s="18" customFormat="1" ht="15" customHeight="1">
      <c r="A121" s="780"/>
      <c r="B121" s="793"/>
      <c r="C121" s="793"/>
      <c r="D121" s="793"/>
      <c r="E121" s="127"/>
    </row>
    <row r="122" spans="1:5" s="18" customFormat="1" ht="15" customHeight="1">
      <c r="A122" s="780"/>
      <c r="B122" s="793"/>
      <c r="C122" s="793"/>
      <c r="D122" s="793"/>
      <c r="E122" s="127"/>
    </row>
    <row r="123" spans="1:5" s="18" customFormat="1" ht="15" customHeight="1">
      <c r="A123" s="780"/>
      <c r="B123" s="793"/>
      <c r="C123" s="793"/>
      <c r="D123" s="793"/>
      <c r="E123" s="127"/>
    </row>
    <row r="124" spans="1:5" s="18" customFormat="1" ht="15" customHeight="1">
      <c r="A124" s="780"/>
      <c r="B124" s="793"/>
      <c r="C124" s="793"/>
      <c r="D124" s="793"/>
      <c r="E124" s="127"/>
    </row>
    <row r="125" spans="1:5" s="18" customFormat="1" ht="15" customHeight="1">
      <c r="A125" s="780"/>
      <c r="B125" s="793"/>
      <c r="C125" s="793"/>
      <c r="D125" s="793"/>
      <c r="E125" s="127"/>
    </row>
    <row r="126" spans="1:5" s="18" customFormat="1" ht="15" customHeight="1">
      <c r="A126" s="780"/>
      <c r="B126" s="793"/>
      <c r="C126" s="793"/>
      <c r="D126" s="793"/>
      <c r="E126" s="127"/>
    </row>
    <row r="127" spans="1:5" s="18" customFormat="1" ht="15" customHeight="1">
      <c r="A127" s="780"/>
      <c r="B127" s="793"/>
      <c r="C127" s="793"/>
      <c r="D127" s="793"/>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H58"/>
  <sheetViews>
    <sheetView zoomScale="75" zoomScaleNormal="75"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278</v>
      </c>
      <c r="B1" s="423"/>
      <c r="C1" s="423"/>
      <c r="D1" s="423"/>
      <c r="E1" s="423"/>
      <c r="F1" s="423"/>
      <c r="G1" s="424"/>
    </row>
    <row r="2" spans="1:7" s="98" customFormat="1" ht="15" customHeight="1">
      <c r="A2" s="425"/>
      <c r="B2" s="426"/>
      <c r="C2" s="426"/>
      <c r="D2" s="426"/>
      <c r="E2" s="426"/>
      <c r="F2" s="426"/>
      <c r="G2" s="427"/>
    </row>
    <row r="3" spans="1:7" ht="15" customHeight="1">
      <c r="A3" s="839" t="s">
        <v>401</v>
      </c>
      <c r="B3" s="840"/>
      <c r="C3" s="840"/>
      <c r="D3" s="840"/>
      <c r="E3" s="840"/>
      <c r="F3" s="840"/>
      <c r="G3" s="841"/>
    </row>
    <row r="4" spans="1:7" ht="15" customHeight="1">
      <c r="A4" s="839" t="s">
        <v>5</v>
      </c>
      <c r="B4" s="840"/>
      <c r="C4" s="840"/>
      <c r="D4" s="840"/>
      <c r="E4" s="840"/>
      <c r="F4" s="840"/>
      <c r="G4" s="841"/>
    </row>
    <row r="5" spans="1:7" s="14" customFormat="1" ht="15" customHeight="1">
      <c r="A5" s="429"/>
      <c r="B5" s="430"/>
      <c r="C5" s="430"/>
      <c r="D5" s="430"/>
      <c r="E5" s="430"/>
      <c r="F5" s="430"/>
      <c r="G5" s="430"/>
    </row>
    <row r="6" spans="2:7" s="14" customFormat="1" ht="30" customHeight="1">
      <c r="B6" s="873" t="s">
        <v>8</v>
      </c>
      <c r="C6" s="873" t="s">
        <v>490</v>
      </c>
      <c r="D6" s="873" t="s">
        <v>28</v>
      </c>
      <c r="E6" s="873" t="s">
        <v>489</v>
      </c>
      <c r="F6" s="874" t="s">
        <v>9</v>
      </c>
      <c r="G6" s="876" t="s">
        <v>279</v>
      </c>
    </row>
    <row r="7" spans="1:7" s="14" customFormat="1" ht="15" customHeight="1">
      <c r="A7" s="431" t="s">
        <v>107</v>
      </c>
      <c r="B7" s="430"/>
      <c r="C7" s="430"/>
      <c r="D7" s="430"/>
      <c r="E7" s="430"/>
      <c r="F7" s="430"/>
      <c r="G7" s="430"/>
    </row>
    <row r="8" spans="1:7" s="14" customFormat="1" ht="15" customHeight="1">
      <c r="A8" s="432" t="s">
        <v>402</v>
      </c>
      <c r="B8" s="372"/>
      <c r="C8" s="372"/>
      <c r="D8" s="372"/>
      <c r="E8" s="372"/>
      <c r="F8" s="372"/>
      <c r="G8" s="372"/>
    </row>
    <row r="9" spans="1:7" s="99" customFormat="1" ht="15" customHeight="1">
      <c r="A9" s="371" t="s">
        <v>471</v>
      </c>
      <c r="B9" s="476">
        <f>-'[12]1Q08 Trial Balance'!C245</f>
        <v>2801527</v>
      </c>
      <c r="C9" s="476">
        <f>-'[12]1Q08 Trial Balance'!C241</f>
        <v>36730</v>
      </c>
      <c r="D9" s="904">
        <f>-'[12]1Q08 Trial Balance'!C238</f>
        <v>-4285</v>
      </c>
      <c r="E9" s="126">
        <v>0</v>
      </c>
      <c r="F9" s="126">
        <v>0</v>
      </c>
      <c r="G9" s="476">
        <f>SUM(B9:F9)</f>
        <v>2833972</v>
      </c>
    </row>
    <row r="10" spans="1:7" s="14" customFormat="1" ht="15" customHeight="1">
      <c r="A10" s="371" t="s">
        <v>416</v>
      </c>
      <c r="B10" s="126">
        <f>-'[12]1Q08 Trial Balance'!C246</f>
        <v>818715</v>
      </c>
      <c r="C10" s="906">
        <f>-'[12]1Q08 Trial Balance'!C242</f>
        <v>7163</v>
      </c>
      <c r="D10" s="906">
        <f>-'[12]1Q08 Trial Balance'!C239</f>
        <v>-2964</v>
      </c>
      <c r="E10" s="126">
        <v>0</v>
      </c>
      <c r="F10" s="126">
        <v>0</v>
      </c>
      <c r="G10" s="485">
        <f>SUM(B10:F10)</f>
        <v>822914</v>
      </c>
    </row>
    <row r="11" spans="1:7" s="14" customFormat="1" ht="15" customHeight="1">
      <c r="A11" s="371" t="s">
        <v>417</v>
      </c>
      <c r="B11" s="126">
        <f>-'[12]1Q08 Trial Balance'!C247</f>
        <v>8281</v>
      </c>
      <c r="C11" s="906">
        <f>-'[12]1Q08 Trial Balance'!C243</f>
        <v>-320</v>
      </c>
      <c r="D11" s="126">
        <v>0</v>
      </c>
      <c r="E11" s="126">
        <v>0</v>
      </c>
      <c r="F11" s="126">
        <v>0</v>
      </c>
      <c r="G11" s="485">
        <f>SUM(B11:F11)</f>
        <v>7961</v>
      </c>
    </row>
    <row r="12" spans="1:7" s="24" customFormat="1" ht="15" customHeight="1" thickBot="1">
      <c r="A12" s="433" t="s">
        <v>406</v>
      </c>
      <c r="B12" s="138">
        <f aca="true" t="shared" si="0" ref="B12:G12">SUM(B9:B11)</f>
        <v>3628523</v>
      </c>
      <c r="C12" s="912">
        <f t="shared" si="0"/>
        <v>43573</v>
      </c>
      <c r="D12" s="912">
        <f t="shared" si="0"/>
        <v>-7249</v>
      </c>
      <c r="E12" s="138">
        <f t="shared" si="0"/>
        <v>0</v>
      </c>
      <c r="F12" s="138">
        <f t="shared" si="0"/>
        <v>0</v>
      </c>
      <c r="G12" s="767">
        <f t="shared" si="0"/>
        <v>3664847</v>
      </c>
    </row>
    <row r="13" spans="1:7" s="24" customFormat="1" ht="15" customHeight="1" thickTop="1">
      <c r="A13" s="371"/>
      <c r="B13" s="126"/>
      <c r="C13" s="126"/>
      <c r="D13" s="126"/>
      <c r="E13" s="126"/>
      <c r="F13" s="126"/>
      <c r="G13" s="256"/>
    </row>
    <row r="14" spans="1:7" s="24" customFormat="1" ht="30" customHeight="1">
      <c r="A14" s="432" t="s">
        <v>13</v>
      </c>
      <c r="B14" s="126"/>
      <c r="C14" s="126"/>
      <c r="D14" s="126"/>
      <c r="E14" s="126"/>
      <c r="F14" s="126"/>
      <c r="G14" s="126"/>
    </row>
    <row r="15" spans="1:7" s="24" customFormat="1" ht="15" customHeight="1">
      <c r="A15" s="371" t="s">
        <v>471</v>
      </c>
      <c r="B15" s="126">
        <f>-'[12]1Q08 Trial Balance'!C68</f>
        <v>2438247</v>
      </c>
      <c r="C15" s="126">
        <f>-'[12]1Q08 Trial Balance'!C64</f>
        <v>3614901</v>
      </c>
      <c r="D15" s="589">
        <v>0</v>
      </c>
      <c r="E15" s="589">
        <v>0</v>
      </c>
      <c r="F15" s="589">
        <v>0</v>
      </c>
      <c r="G15" s="485">
        <f>SUM(B15:F15)</f>
        <v>6053148</v>
      </c>
    </row>
    <row r="16" spans="1:7" s="24" customFormat="1" ht="15" customHeight="1">
      <c r="A16" s="371" t="s">
        <v>44</v>
      </c>
      <c r="B16" s="126">
        <f>-'[12]1Q08 Trial Balance'!C69</f>
        <v>713548</v>
      </c>
      <c r="C16" s="126">
        <f>-'[12]1Q08 Trial Balance'!C65</f>
        <v>1070955</v>
      </c>
      <c r="D16" s="126">
        <v>0</v>
      </c>
      <c r="E16" s="126">
        <v>0</v>
      </c>
      <c r="F16" s="126">
        <v>0</v>
      </c>
      <c r="G16" s="485">
        <f>SUM(B16:F16)</f>
        <v>1784503</v>
      </c>
    </row>
    <row r="17" spans="1:7" s="24" customFormat="1" ht="15" customHeight="1">
      <c r="A17" s="371" t="s">
        <v>429</v>
      </c>
      <c r="B17" s="126">
        <f>-'[12]1Q08 Trial Balance'!C70</f>
        <v>7261</v>
      </c>
      <c r="C17" s="126">
        <f>-'[12]1Q08 Trial Balance'!C66</f>
        <v>10413</v>
      </c>
      <c r="D17" s="126">
        <v>0</v>
      </c>
      <c r="E17" s="126">
        <v>0</v>
      </c>
      <c r="F17" s="126">
        <v>0</v>
      </c>
      <c r="G17" s="766">
        <f>SUM(B17:F17)</f>
        <v>17674</v>
      </c>
    </row>
    <row r="18" spans="1:7" s="24" customFormat="1" ht="15" customHeight="1" thickBot="1">
      <c r="A18" s="433" t="s">
        <v>406</v>
      </c>
      <c r="B18" s="138">
        <f>SUM(B15:B17)</f>
        <v>3159056</v>
      </c>
      <c r="C18" s="138">
        <f>SUM(C15:C17)</f>
        <v>4696269</v>
      </c>
      <c r="D18" s="138">
        <f>SUM(D15:D17)</f>
        <v>0</v>
      </c>
      <c r="E18" s="138">
        <f>SUM(E15:E17)</f>
        <v>0</v>
      </c>
      <c r="F18" s="138">
        <v>0</v>
      </c>
      <c r="G18" s="767">
        <f>SUM(G15:G17)</f>
        <v>7855325</v>
      </c>
    </row>
    <row r="19" spans="1:7" s="24" customFormat="1" ht="15" customHeight="1" thickTop="1">
      <c r="A19" s="371"/>
      <c r="B19" s="126"/>
      <c r="C19" s="126"/>
      <c r="D19" s="126"/>
      <c r="E19" s="126"/>
      <c r="F19" s="126"/>
      <c r="G19" s="256"/>
    </row>
    <row r="20" spans="1:7" s="24" customFormat="1" ht="30" customHeight="1">
      <c r="A20" s="432" t="s">
        <v>14</v>
      </c>
      <c r="B20" s="312"/>
      <c r="C20" s="312"/>
      <c r="D20" s="312"/>
      <c r="E20" s="312"/>
      <c r="F20" s="126"/>
      <c r="G20" s="126"/>
    </row>
    <row r="21" spans="1:7" s="24" customFormat="1" ht="15" customHeight="1">
      <c r="A21" s="371" t="s">
        <v>471</v>
      </c>
      <c r="B21" s="126">
        <v>0</v>
      </c>
      <c r="C21" s="126">
        <v>6477918.17</v>
      </c>
      <c r="D21" s="589">
        <v>0</v>
      </c>
      <c r="E21" s="589">
        <v>0</v>
      </c>
      <c r="F21" s="589">
        <v>0</v>
      </c>
      <c r="G21" s="485">
        <f>SUM(B21:F21)</f>
        <v>6477918.17</v>
      </c>
    </row>
    <row r="22" spans="1:7" s="24" customFormat="1" ht="15" customHeight="1">
      <c r="A22" s="371" t="s">
        <v>416</v>
      </c>
      <c r="B22" s="126">
        <v>0</v>
      </c>
      <c r="C22" s="126">
        <v>1910019.65</v>
      </c>
      <c r="D22" s="126">
        <v>0</v>
      </c>
      <c r="E22" s="126">
        <v>0</v>
      </c>
      <c r="F22" s="126">
        <v>0</v>
      </c>
      <c r="G22" s="485">
        <f>SUM(B22:F22)</f>
        <v>1910019.65</v>
      </c>
    </row>
    <row r="23" spans="1:7" s="24" customFormat="1" ht="15" customHeight="1">
      <c r="A23" s="371" t="s">
        <v>417</v>
      </c>
      <c r="B23" s="126">
        <v>0</v>
      </c>
      <c r="C23" s="126">
        <v>19195.03</v>
      </c>
      <c r="D23" s="126">
        <v>0</v>
      </c>
      <c r="E23" s="126">
        <v>0</v>
      </c>
      <c r="F23" s="126">
        <v>0</v>
      </c>
      <c r="G23" s="485">
        <f>SUM(B23:F23)</f>
        <v>19195.03</v>
      </c>
    </row>
    <row r="24" spans="1:7" s="24" customFormat="1" ht="15" customHeight="1" thickBot="1">
      <c r="A24" s="433" t="s">
        <v>406</v>
      </c>
      <c r="B24" s="138">
        <f>SUM(B21:B23)</f>
        <v>0</v>
      </c>
      <c r="C24" s="138">
        <f>SUM(C21:C23)</f>
        <v>8407132.85</v>
      </c>
      <c r="D24" s="138">
        <f>SUM(D21:D23)</f>
        <v>0</v>
      </c>
      <c r="E24" s="138">
        <f>SUM(E21:E23)</f>
        <v>0</v>
      </c>
      <c r="F24" s="138">
        <f>SUM(F21:F23)</f>
        <v>0</v>
      </c>
      <c r="G24" s="129">
        <f>SUM(C24:F24)</f>
        <v>8407132.85</v>
      </c>
    </row>
    <row r="25" spans="1:7" s="782" customFormat="1" ht="15" customHeight="1" thickTop="1">
      <c r="A25" s="434"/>
      <c r="B25" s="126"/>
      <c r="C25" s="126"/>
      <c r="D25" s="126"/>
      <c r="E25" s="842"/>
      <c r="F25" s="126"/>
      <c r="G25" s="781"/>
    </row>
    <row r="26" spans="1:7" s="24" customFormat="1" ht="15" customHeight="1">
      <c r="A26" s="432" t="s">
        <v>407</v>
      </c>
      <c r="B26" s="126"/>
      <c r="C26" s="126"/>
      <c r="D26" s="126"/>
      <c r="E26" s="126"/>
      <c r="F26" s="126"/>
      <c r="G26" s="126"/>
    </row>
    <row r="27" spans="1:7" s="24" customFormat="1" ht="15" customHeight="1">
      <c r="A27" s="371" t="s">
        <v>471</v>
      </c>
      <c r="B27" s="126">
        <f aca="true" t="shared" si="1" ref="B27:F29">B9-(B15-B21)</f>
        <v>363280</v>
      </c>
      <c r="C27" s="126">
        <f t="shared" si="1"/>
        <v>2899747.17</v>
      </c>
      <c r="D27" s="906">
        <f t="shared" si="1"/>
        <v>-4285</v>
      </c>
      <c r="E27" s="126">
        <f t="shared" si="1"/>
        <v>0</v>
      </c>
      <c r="F27" s="126">
        <f t="shared" si="1"/>
        <v>0</v>
      </c>
      <c r="G27" s="485">
        <f>SUM(B27:F27)</f>
        <v>3258742.17</v>
      </c>
    </row>
    <row r="28" spans="1:7" s="24" customFormat="1" ht="15" customHeight="1">
      <c r="A28" s="371" t="s">
        <v>416</v>
      </c>
      <c r="B28" s="126">
        <f t="shared" si="1"/>
        <v>105167</v>
      </c>
      <c r="C28" s="126">
        <f t="shared" si="1"/>
        <v>846227.6499999999</v>
      </c>
      <c r="D28" s="906">
        <f t="shared" si="1"/>
        <v>-2964</v>
      </c>
      <c r="E28" s="126">
        <f t="shared" si="1"/>
        <v>0</v>
      </c>
      <c r="F28" s="126">
        <f t="shared" si="1"/>
        <v>0</v>
      </c>
      <c r="G28" s="485">
        <f>SUM(B28:F28)</f>
        <v>948430.6499999999</v>
      </c>
    </row>
    <row r="29" spans="1:7" s="24" customFormat="1" ht="15" customHeight="1">
      <c r="A29" s="435" t="s">
        <v>417</v>
      </c>
      <c r="B29" s="485">
        <f t="shared" si="1"/>
        <v>1020</v>
      </c>
      <c r="C29" s="485">
        <f t="shared" si="1"/>
        <v>8462.029999999999</v>
      </c>
      <c r="D29" s="485">
        <f t="shared" si="1"/>
        <v>0</v>
      </c>
      <c r="E29" s="485">
        <f t="shared" si="1"/>
        <v>0</v>
      </c>
      <c r="F29" s="126">
        <f t="shared" si="1"/>
        <v>0</v>
      </c>
      <c r="G29" s="485">
        <f>SUM(B29:F29)</f>
        <v>9482.029999999999</v>
      </c>
    </row>
    <row r="30" spans="1:7" s="24" customFormat="1" ht="15" customHeight="1" thickBot="1">
      <c r="A30" s="433" t="s">
        <v>406</v>
      </c>
      <c r="B30" s="544">
        <f aca="true" t="shared" si="2" ref="B30:G30">SUM(B27:B29)</f>
        <v>469467</v>
      </c>
      <c r="C30" s="544">
        <f t="shared" si="2"/>
        <v>3754436.8499999996</v>
      </c>
      <c r="D30" s="911">
        <f t="shared" si="2"/>
        <v>-7249</v>
      </c>
      <c r="E30" s="900">
        <f t="shared" si="2"/>
        <v>0</v>
      </c>
      <c r="F30" s="900">
        <f t="shared" si="2"/>
        <v>0</v>
      </c>
      <c r="G30" s="544">
        <f t="shared" si="2"/>
        <v>4216654.850000001</v>
      </c>
    </row>
    <row r="31" spans="1:7" s="24" customFormat="1" ht="15" customHeight="1" thickTop="1">
      <c r="A31" s="433"/>
      <c r="B31" s="477"/>
      <c r="C31" s="477"/>
      <c r="D31" s="477"/>
      <c r="E31" s="784"/>
      <c r="F31" s="784"/>
      <c r="G31" s="477"/>
    </row>
    <row r="32" spans="1:7" s="785" customFormat="1" ht="15" customHeight="1">
      <c r="A32" s="990" t="s">
        <v>24</v>
      </c>
      <c r="B32" s="990"/>
      <c r="C32" s="990"/>
      <c r="D32" s="990"/>
      <c r="E32" s="990"/>
      <c r="F32" s="990"/>
      <c r="G32" s="990"/>
    </row>
    <row r="33" spans="1:7" s="785" customFormat="1" ht="15" customHeight="1">
      <c r="A33" s="990"/>
      <c r="B33" s="990"/>
      <c r="C33" s="990"/>
      <c r="D33" s="990"/>
      <c r="E33" s="990"/>
      <c r="F33" s="990"/>
      <c r="G33" s="990"/>
    </row>
    <row r="34" spans="1:7" s="785" customFormat="1" ht="15" customHeight="1">
      <c r="A34" s="990"/>
      <c r="B34" s="990"/>
      <c r="C34" s="990"/>
      <c r="D34" s="990"/>
      <c r="E34" s="990"/>
      <c r="F34" s="990"/>
      <c r="G34" s="990"/>
    </row>
    <row r="35" spans="1:7" ht="19.5" customHeight="1">
      <c r="A35" s="135"/>
      <c r="B35" s="991" t="s">
        <v>459</v>
      </c>
      <c r="C35" s="991" t="s">
        <v>486</v>
      </c>
      <c r="D35" s="135"/>
      <c r="E35" s="843"/>
      <c r="F35" s="991" t="s">
        <v>459</v>
      </c>
      <c r="G35" s="991" t="s">
        <v>486</v>
      </c>
    </row>
    <row r="36" spans="1:7" ht="19.5" customHeight="1">
      <c r="A36" s="844" t="s">
        <v>344</v>
      </c>
      <c r="B36" s="991"/>
      <c r="C36" s="991"/>
      <c r="D36" s="135"/>
      <c r="E36" s="845" t="s">
        <v>344</v>
      </c>
      <c r="F36" s="991"/>
      <c r="G36" s="991"/>
    </row>
    <row r="37" spans="1:8" ht="15" customHeight="1">
      <c r="A37" s="846" t="s">
        <v>19</v>
      </c>
      <c r="B37" s="846">
        <v>1685853.65</v>
      </c>
      <c r="C37" s="846">
        <v>2058917.12</v>
      </c>
      <c r="D37" s="894" t="s">
        <v>23</v>
      </c>
      <c r="E37" s="846">
        <v>308798.42</v>
      </c>
      <c r="F37" s="846">
        <v>1352322.33</v>
      </c>
      <c r="G37" s="846">
        <f>E37+F37</f>
        <v>1661120.75</v>
      </c>
      <c r="H37" s="4"/>
    </row>
    <row r="38" spans="1:8" ht="15" customHeight="1">
      <c r="A38" s="846" t="s">
        <v>20</v>
      </c>
      <c r="B38" s="846">
        <v>1607900.14</v>
      </c>
      <c r="C38" s="846">
        <v>1960976.65</v>
      </c>
      <c r="D38" s="894"/>
      <c r="E38" s="846"/>
      <c r="F38" s="846"/>
      <c r="G38" s="846"/>
      <c r="H38" s="4"/>
    </row>
    <row r="39" spans="1:8" ht="15" customHeight="1">
      <c r="A39" s="846" t="s">
        <v>21</v>
      </c>
      <c r="B39" s="846">
        <v>1538293.65</v>
      </c>
      <c r="C39" s="846">
        <v>1874884.5</v>
      </c>
      <c r="D39" s="894"/>
      <c r="E39" s="846"/>
      <c r="F39" s="846"/>
      <c r="G39" s="846"/>
      <c r="H39" s="4"/>
    </row>
    <row r="40" spans="1:8" ht="15" customHeight="1">
      <c r="A40" s="846" t="s">
        <v>22</v>
      </c>
      <c r="B40" s="846">
        <v>1441429.82</v>
      </c>
      <c r="C40" s="846">
        <v>1763006.92</v>
      </c>
      <c r="D40" s="894"/>
      <c r="E40" s="846"/>
      <c r="F40" s="846"/>
      <c r="G40" s="846"/>
      <c r="H40" s="4"/>
    </row>
    <row r="41" spans="1:7" s="135" customFormat="1" ht="15" customHeight="1">
      <c r="A41" s="847"/>
      <c r="B41" s="848"/>
      <c r="C41" s="848"/>
      <c r="D41" s="848"/>
      <c r="E41" s="847"/>
      <c r="F41" s="849"/>
      <c r="G41" s="849"/>
    </row>
    <row r="42" spans="1:7" s="135" customFormat="1" ht="15" customHeight="1">
      <c r="A42" s="990" t="s">
        <v>462</v>
      </c>
      <c r="B42" s="990"/>
      <c r="C42" s="990"/>
      <c r="D42" s="990"/>
      <c r="E42" s="990"/>
      <c r="F42" s="990"/>
      <c r="G42" s="990"/>
    </row>
    <row r="43" spans="1:7" s="135" customFormat="1" ht="15" customHeight="1">
      <c r="A43" s="990"/>
      <c r="B43" s="990"/>
      <c r="C43" s="990"/>
      <c r="D43" s="990"/>
      <c r="E43" s="990"/>
      <c r="F43" s="990"/>
      <c r="G43" s="990"/>
    </row>
    <row r="44" spans="1:7" s="135" customFormat="1" ht="15" customHeight="1">
      <c r="A44" s="847"/>
      <c r="B44" s="848"/>
      <c r="C44" s="848"/>
      <c r="D44" s="848"/>
      <c r="E44" s="847"/>
      <c r="F44" s="849"/>
      <c r="G44" s="849"/>
    </row>
    <row r="45" spans="1:7" s="135" customFormat="1" ht="15" customHeight="1">
      <c r="A45" s="847"/>
      <c r="B45" s="848"/>
      <c r="C45" s="848"/>
      <c r="D45" s="848"/>
      <c r="E45" s="847"/>
      <c r="F45" s="849"/>
      <c r="G45" s="849"/>
    </row>
    <row r="46" spans="1:7" s="135" customFormat="1" ht="15" customHeight="1">
      <c r="A46" s="847"/>
      <c r="B46" s="848"/>
      <c r="C46" s="848"/>
      <c r="D46" s="848"/>
      <c r="E46" s="847"/>
      <c r="F46" s="849"/>
      <c r="G46" s="849"/>
    </row>
    <row r="47" spans="1:7" s="135" customFormat="1" ht="15" customHeight="1">
      <c r="A47" s="847"/>
      <c r="B47" s="848"/>
      <c r="C47" s="848"/>
      <c r="D47" s="848"/>
      <c r="E47" s="847"/>
      <c r="F47" s="849"/>
      <c r="G47" s="849"/>
    </row>
    <row r="48" spans="1:7" s="135" customFormat="1" ht="15" customHeight="1">
      <c r="A48" s="847"/>
      <c r="B48" s="848"/>
      <c r="C48" s="848"/>
      <c r="D48" s="848"/>
      <c r="E48" s="847"/>
      <c r="F48" s="849"/>
      <c r="G48" s="849"/>
    </row>
    <row r="49" spans="1:7" s="135" customFormat="1" ht="15" customHeight="1">
      <c r="A49" s="847"/>
      <c r="B49" s="848"/>
      <c r="C49" s="848"/>
      <c r="D49" s="848"/>
      <c r="E49" s="847"/>
      <c r="F49" s="849"/>
      <c r="G49" s="849"/>
    </row>
    <row r="50" spans="1:7" s="135" customFormat="1" ht="15" customHeight="1">
      <c r="A50" s="847"/>
      <c r="B50" s="848"/>
      <c r="C50" s="848"/>
      <c r="D50" s="848"/>
      <c r="E50" s="847"/>
      <c r="F50" s="849"/>
      <c r="G50" s="849"/>
    </row>
    <row r="51" spans="1:7" s="135" customFormat="1" ht="15" customHeight="1">
      <c r="A51" s="847"/>
      <c r="B51" s="848"/>
      <c r="C51" s="848"/>
      <c r="D51" s="848"/>
      <c r="E51" s="847"/>
      <c r="F51" s="849"/>
      <c r="G51" s="849"/>
    </row>
    <row r="52" spans="1:7" s="135" customFormat="1" ht="15" customHeight="1">
      <c r="A52" s="847"/>
      <c r="B52" s="848"/>
      <c r="C52" s="848"/>
      <c r="D52" s="848"/>
      <c r="E52" s="847"/>
      <c r="F52" s="849"/>
      <c r="G52" s="849"/>
    </row>
    <row r="53" spans="1:7" s="135" customFormat="1" ht="15" customHeight="1">
      <c r="A53" s="847"/>
      <c r="B53" s="848"/>
      <c r="C53" s="848"/>
      <c r="D53" s="848"/>
      <c r="E53" s="847"/>
      <c r="F53" s="849"/>
      <c r="G53" s="849"/>
    </row>
    <row r="54" spans="1:7" s="135" customFormat="1" ht="15" customHeight="1">
      <c r="A54" s="847"/>
      <c r="B54" s="848"/>
      <c r="C54" s="848"/>
      <c r="D54" s="848"/>
      <c r="E54" s="847"/>
      <c r="F54" s="849"/>
      <c r="G54" s="849"/>
    </row>
    <row r="55" spans="1:7" s="135" customFormat="1" ht="15" customHeight="1">
      <c r="A55" s="847"/>
      <c r="B55" s="848"/>
      <c r="C55" s="848"/>
      <c r="D55" s="848"/>
      <c r="E55" s="847"/>
      <c r="F55" s="849"/>
      <c r="G55" s="849"/>
    </row>
    <row r="56" spans="1:7" s="135" customFormat="1" ht="15" customHeight="1">
      <c r="A56" s="847"/>
      <c r="B56" s="848"/>
      <c r="C56" s="848"/>
      <c r="D56" s="848"/>
      <c r="E56" s="847"/>
      <c r="F56" s="849"/>
      <c r="G56" s="849"/>
    </row>
    <row r="57" spans="1:7" s="135" customFormat="1" ht="15" customHeight="1">
      <c r="A57" s="847"/>
      <c r="B57" s="848"/>
      <c r="C57" s="848"/>
      <c r="D57" s="848"/>
      <c r="E57" s="847"/>
      <c r="F57" s="849"/>
      <c r="G57" s="849"/>
    </row>
    <row r="58" spans="1:7" s="135" customFormat="1" ht="15" customHeight="1">
      <c r="A58" s="847"/>
      <c r="B58" s="848"/>
      <c r="C58" s="848"/>
      <c r="D58" s="848"/>
      <c r="E58" s="847"/>
      <c r="F58" s="849"/>
      <c r="G58" s="849"/>
    </row>
  </sheetData>
  <mergeCells count="6">
    <mergeCell ref="A42:G43"/>
    <mergeCell ref="A32:G34"/>
    <mergeCell ref="B35:B36"/>
    <mergeCell ref="C35:C36"/>
    <mergeCell ref="F35:F36"/>
    <mergeCell ref="G35:G36"/>
  </mergeCells>
  <printOptions horizontalCentered="1"/>
  <pageMargins left="0.25" right="0.25" top="0.5" bottom="0.5" header="0.25" footer="0.25"/>
  <pageSetup horizontalDpi="600" verticalDpi="600" orientation="landscape" scale="75" r:id="rId1"/>
  <headerFooter alignWithMargins="0">
    <oddFooter>&amp;CPage 5</oddFooter>
  </headerFooter>
</worksheet>
</file>

<file path=xl/worksheets/sheet12.xml><?xml version="1.0" encoding="utf-8"?>
<worksheet xmlns="http://schemas.openxmlformats.org/spreadsheetml/2006/main" xmlns:r="http://schemas.openxmlformats.org/officeDocument/2006/relationships">
  <dimension ref="A1:G74"/>
  <sheetViews>
    <sheetView zoomScale="75" zoomScaleNormal="75" workbookViewId="0" topLeftCell="A1">
      <selection activeCell="A1" sqref="A1:G1"/>
    </sheetView>
  </sheetViews>
  <sheetFormatPr defaultColWidth="9.140625" defaultRowHeight="15" customHeight="1"/>
  <cols>
    <col min="1" max="1" width="59.00390625" style="891" customWidth="1"/>
    <col min="2" max="4" width="16.7109375" style="565" customWidth="1"/>
    <col min="5" max="7" width="16.7109375" style="566" customWidth="1"/>
    <col min="8" max="16384" width="15.7109375" style="340" customWidth="1"/>
  </cols>
  <sheetData>
    <row r="1" spans="1:7" s="363" customFormat="1" ht="24.75" customHeight="1">
      <c r="A1" s="992" t="s">
        <v>278</v>
      </c>
      <c r="B1" s="992"/>
      <c r="C1" s="992"/>
      <c r="D1" s="992"/>
      <c r="E1" s="992"/>
      <c r="F1" s="992"/>
      <c r="G1" s="992"/>
    </row>
    <row r="2" spans="1:7" s="166" customFormat="1" ht="15" customHeight="1">
      <c r="A2" s="887"/>
      <c r="B2" s="850"/>
      <c r="C2" s="850"/>
      <c r="D2" s="850"/>
      <c r="E2" s="850"/>
      <c r="F2" s="850"/>
      <c r="G2" s="850"/>
    </row>
    <row r="3" spans="1:7" s="167" customFormat="1" ht="15" customHeight="1">
      <c r="A3" s="993" t="s">
        <v>412</v>
      </c>
      <c r="B3" s="993"/>
      <c r="C3" s="993"/>
      <c r="D3" s="993"/>
      <c r="E3" s="993"/>
      <c r="F3" s="993"/>
      <c r="G3" s="993"/>
    </row>
    <row r="4" spans="1:7" s="167" customFormat="1" ht="15" customHeight="1">
      <c r="A4" s="993" t="s">
        <v>4</v>
      </c>
      <c r="B4" s="993"/>
      <c r="C4" s="993"/>
      <c r="D4" s="993"/>
      <c r="E4" s="993"/>
      <c r="F4" s="993"/>
      <c r="G4" s="993"/>
    </row>
    <row r="5" spans="1:7" s="364" customFormat="1" ht="15" customHeight="1">
      <c r="A5" s="887"/>
      <c r="B5" s="564"/>
      <c r="C5" s="564"/>
      <c r="D5" s="564"/>
      <c r="E5" s="850"/>
      <c r="F5" s="850"/>
      <c r="G5" s="850"/>
    </row>
    <row r="6" spans="2:7" ht="30" customHeight="1">
      <c r="B6" s="873" t="s">
        <v>8</v>
      </c>
      <c r="C6" s="873" t="s">
        <v>490</v>
      </c>
      <c r="D6" s="873" t="s">
        <v>28</v>
      </c>
      <c r="E6" s="873" t="s">
        <v>489</v>
      </c>
      <c r="F6" s="874" t="s">
        <v>9</v>
      </c>
      <c r="G6" s="873" t="s">
        <v>279</v>
      </c>
    </row>
    <row r="7" spans="1:7" ht="15" customHeight="1">
      <c r="A7" s="888" t="s">
        <v>413</v>
      </c>
      <c r="B7" s="851"/>
      <c r="C7" s="851"/>
      <c r="D7" s="851"/>
      <c r="E7" s="851"/>
      <c r="F7" s="851"/>
      <c r="G7" s="851"/>
    </row>
    <row r="8" spans="1:7" ht="15" customHeight="1">
      <c r="A8" s="888" t="s">
        <v>29</v>
      </c>
      <c r="B8" s="852"/>
      <c r="C8" s="852"/>
      <c r="D8" s="852"/>
      <c r="E8" s="852"/>
      <c r="F8" s="852"/>
      <c r="G8" s="852"/>
    </row>
    <row r="9" spans="1:7" ht="15" customHeight="1">
      <c r="A9" s="889" t="s">
        <v>415</v>
      </c>
      <c r="B9" s="476">
        <f>'[11]Loss Expenses Paid QTD-10'!E33</f>
        <v>22415</v>
      </c>
      <c r="C9" s="476">
        <f>'[11]Loss Expenses Paid QTD-10'!E27</f>
        <v>2320119</v>
      </c>
      <c r="D9" s="476">
        <f>'[11]Loss Expenses Paid QTD-10'!E21</f>
        <v>229388</v>
      </c>
      <c r="E9" s="904">
        <f>'[11]Loss Expenses Paid QTD-10'!E15</f>
        <v>-1960</v>
      </c>
      <c r="F9" s="904">
        <f>'[11]Loss Expenses Paid QTD-10'!E9+'[12]1Q08 Trial Balance'!C296+'[12]1Q08 Trial Balance'!C298</f>
        <v>35737</v>
      </c>
      <c r="G9" s="476">
        <f>SUM(B9:F9)</f>
        <v>2605699</v>
      </c>
    </row>
    <row r="10" spans="1:7" ht="15" customHeight="1">
      <c r="A10" s="889" t="s">
        <v>416</v>
      </c>
      <c r="B10" s="853">
        <f>'[11]Loss Expenses Paid QTD-10'!E34</f>
        <v>10390</v>
      </c>
      <c r="C10" s="853">
        <f>'[11]Loss Expenses Paid QTD-10'!E28</f>
        <v>138109</v>
      </c>
      <c r="D10" s="853">
        <f>'[11]Loss Expenses Paid QTD-10'!E22</f>
        <v>20822</v>
      </c>
      <c r="E10" s="853">
        <f>'[11]Loss Expenses Paid QTD-10'!E16</f>
        <v>4343</v>
      </c>
      <c r="F10" s="853">
        <f>'[11]Loss Expenses Paid QTD-10'!E10</f>
        <v>0</v>
      </c>
      <c r="G10" s="853">
        <f>SUM(B10:F10)</f>
        <v>173664</v>
      </c>
    </row>
    <row r="11" spans="1:7" ht="15" customHeight="1">
      <c r="A11" s="889" t="s">
        <v>417</v>
      </c>
      <c r="B11" s="853">
        <f>'[11]Loss Expenses Paid QTD-10'!E35</f>
        <v>0</v>
      </c>
      <c r="C11" s="853">
        <f>'[11]Loss Expenses Paid QTD-10'!E29</f>
        <v>302</v>
      </c>
      <c r="D11" s="853">
        <f>'[11]Loss Expenses Paid QTD-10'!E23</f>
        <v>0</v>
      </c>
      <c r="E11" s="853">
        <f>'[11]Loss Expenses Paid QTD-10'!E17</f>
        <v>0</v>
      </c>
      <c r="F11" s="853">
        <f>'[11]Loss Expenses Paid QTD-10'!E11</f>
        <v>0</v>
      </c>
      <c r="G11" s="853">
        <f>SUM(B11:F11)</f>
        <v>302</v>
      </c>
    </row>
    <row r="12" spans="1:7" ht="15" customHeight="1" thickBot="1">
      <c r="A12" s="890" t="s">
        <v>406</v>
      </c>
      <c r="B12" s="828">
        <f aca="true" t="shared" si="0" ref="B12:G12">SUM(B9:B11)</f>
        <v>32805</v>
      </c>
      <c r="C12" s="828">
        <f t="shared" si="0"/>
        <v>2458530</v>
      </c>
      <c r="D12" s="909">
        <f t="shared" si="0"/>
        <v>250210</v>
      </c>
      <c r="E12" s="854">
        <f t="shared" si="0"/>
        <v>2383</v>
      </c>
      <c r="F12" s="908">
        <f t="shared" si="0"/>
        <v>35737</v>
      </c>
      <c r="G12" s="893">
        <f t="shared" si="0"/>
        <v>2779665</v>
      </c>
    </row>
    <row r="13" spans="1:7" ht="15" customHeight="1" thickTop="1">
      <c r="A13" s="888"/>
      <c r="B13" s="856"/>
      <c r="C13" s="856"/>
      <c r="D13" s="856"/>
      <c r="E13" s="853"/>
      <c r="F13" s="853"/>
      <c r="G13" s="853"/>
    </row>
    <row r="14" spans="1:7" ht="15" customHeight="1">
      <c r="A14" s="888" t="s">
        <v>10</v>
      </c>
      <c r="B14" s="856"/>
      <c r="C14" s="856"/>
      <c r="D14" s="856"/>
      <c r="E14" s="853"/>
      <c r="F14" s="853"/>
      <c r="G14" s="853"/>
    </row>
    <row r="15" spans="1:7" ht="15" customHeight="1">
      <c r="A15" s="889" t="s">
        <v>418</v>
      </c>
      <c r="B15" s="853">
        <f>'[11]Unpaid Loss Reserves-8'!D35</f>
        <v>224648</v>
      </c>
      <c r="C15" s="853">
        <f>'[11]Unpaid Loss Reserves-8'!D29</f>
        <v>2467574</v>
      </c>
      <c r="D15" s="853">
        <f>'[11]Unpaid Loss Reserves-8'!D22</f>
        <v>253535</v>
      </c>
      <c r="E15" s="853">
        <f>'[11]Unpaid Loss Reserves-8'!D15</f>
        <v>51005</v>
      </c>
      <c r="F15" s="853">
        <f>'[11]Unpaid Loss Reserves-8'!D8</f>
        <v>68981</v>
      </c>
      <c r="G15" s="853">
        <f>SUM(B15:F15)</f>
        <v>3065743</v>
      </c>
    </row>
    <row r="16" spans="1:7" ht="15" customHeight="1">
      <c r="A16" s="889" t="s">
        <v>419</v>
      </c>
      <c r="B16" s="853">
        <f>'[11]Unpaid Loss Reserves-8'!D36</f>
        <v>34000</v>
      </c>
      <c r="C16" s="853">
        <f>'[11]Unpaid Loss Reserves-8'!D30</f>
        <v>229015</v>
      </c>
      <c r="D16" s="853">
        <f>'[11]Unpaid Loss Reserves-8'!D23</f>
        <v>6757</v>
      </c>
      <c r="E16" s="853">
        <f>'[11]Unpaid Loss Reserves-8'!D16</f>
        <v>0</v>
      </c>
      <c r="F16" s="853">
        <f>'[11]Unpaid Loss Reserves-8'!D9</f>
        <v>40000</v>
      </c>
      <c r="G16" s="853">
        <f>SUM(B16:F16)</f>
        <v>309772</v>
      </c>
    </row>
    <row r="17" spans="1:7" ht="15" customHeight="1">
      <c r="A17" s="889" t="s">
        <v>420</v>
      </c>
      <c r="B17" s="853">
        <f>'[11]Unpaid Loss Reserves-8'!D37</f>
        <v>0</v>
      </c>
      <c r="C17" s="853">
        <f>'[11]Unpaid Loss Reserves-8'!D31</f>
        <v>0</v>
      </c>
      <c r="D17" s="853">
        <f>'[11]Unpaid Loss Reserves-8'!D24</f>
        <v>0</v>
      </c>
      <c r="E17" s="853">
        <f>'[11]Unpaid Loss Reserves-8'!D17</f>
        <v>0</v>
      </c>
      <c r="F17" s="853">
        <f>'[11]Unpaid Loss Reserves-8'!D10</f>
        <v>0</v>
      </c>
      <c r="G17" s="853">
        <f>SUM(B17:F17)</f>
        <v>0</v>
      </c>
    </row>
    <row r="18" spans="1:7" ht="15" customHeight="1" thickBot="1">
      <c r="A18" s="890" t="s">
        <v>406</v>
      </c>
      <c r="B18" s="828">
        <f aca="true" t="shared" si="1" ref="B18:G18">SUM(B15:B17)</f>
        <v>258648</v>
      </c>
      <c r="C18" s="828">
        <f t="shared" si="1"/>
        <v>2696589</v>
      </c>
      <c r="D18" s="828">
        <f t="shared" si="1"/>
        <v>260292</v>
      </c>
      <c r="E18" s="854">
        <f t="shared" si="1"/>
        <v>51005</v>
      </c>
      <c r="F18" s="854">
        <f t="shared" si="1"/>
        <v>108981</v>
      </c>
      <c r="G18" s="855">
        <f t="shared" si="1"/>
        <v>3375515</v>
      </c>
    </row>
    <row r="19" spans="1:7" ht="15" customHeight="1" thickTop="1">
      <c r="A19" s="888"/>
      <c r="B19" s="825"/>
      <c r="C19" s="825"/>
      <c r="D19" s="825"/>
      <c r="E19" s="857"/>
      <c r="F19" s="857"/>
      <c r="G19" s="857"/>
    </row>
    <row r="20" spans="1:7" ht="15" customHeight="1">
      <c r="A20" s="888" t="s">
        <v>11</v>
      </c>
      <c r="B20" s="858"/>
      <c r="C20" s="858"/>
      <c r="D20" s="858"/>
      <c r="E20" s="858"/>
      <c r="F20" s="858"/>
      <c r="G20" s="858"/>
    </row>
    <row r="21" spans="1:7" ht="15" customHeight="1">
      <c r="A21" s="889" t="s">
        <v>418</v>
      </c>
      <c r="B21" s="853">
        <f>'[11]Unpaid Loss Reserves-8'!B35</f>
        <v>2455</v>
      </c>
      <c r="C21" s="853">
        <f>'[11]Unpaid Loss Reserves-8'!B29</f>
        <v>763770</v>
      </c>
      <c r="D21" s="853">
        <f>'[11]Unpaid Loss Reserves-8'!B22</f>
        <v>40927</v>
      </c>
      <c r="E21" s="853">
        <v>0</v>
      </c>
      <c r="F21" s="853">
        <v>0</v>
      </c>
      <c r="G21" s="853">
        <f>SUM(B21:F21)</f>
        <v>807152</v>
      </c>
    </row>
    <row r="22" spans="1:7" ht="15" customHeight="1">
      <c r="A22" s="889" t="s">
        <v>419</v>
      </c>
      <c r="B22" s="853">
        <f>'[11]Unpaid Loss Reserves-8'!B36</f>
        <v>372</v>
      </c>
      <c r="C22" s="853">
        <f>'[11]Unpaid Loss Reserves-8'!B30</f>
        <v>70885</v>
      </c>
      <c r="D22" s="853">
        <f>'[11]Unpaid Loss Reserves-8'!B23</f>
        <v>1091</v>
      </c>
      <c r="E22" s="853">
        <v>0</v>
      </c>
      <c r="F22" s="853">
        <v>0</v>
      </c>
      <c r="G22" s="853">
        <f>SUM(B22:F22)</f>
        <v>72348</v>
      </c>
    </row>
    <row r="23" spans="1:7" ht="15" customHeight="1">
      <c r="A23" s="889" t="s">
        <v>420</v>
      </c>
      <c r="B23" s="853">
        <f>'[11]Unpaid Loss Reserves-8'!B37</f>
        <v>0</v>
      </c>
      <c r="C23" s="853">
        <f>'[11]Unpaid Loss Reserves-8'!B31</f>
        <v>0</v>
      </c>
      <c r="D23" s="853">
        <f>'[11]Unpaid Loss Reserves-8'!B24</f>
        <v>0</v>
      </c>
      <c r="E23" s="853">
        <v>0</v>
      </c>
      <c r="F23" s="853">
        <v>0</v>
      </c>
      <c r="G23" s="853">
        <f>SUM(B23:F23)</f>
        <v>0</v>
      </c>
    </row>
    <row r="24" spans="1:7" ht="15" customHeight="1" thickBot="1">
      <c r="A24" s="890" t="s">
        <v>406</v>
      </c>
      <c r="B24" s="828">
        <f aca="true" t="shared" si="2" ref="B24:G24">SUM(B21:B23)</f>
        <v>2827</v>
      </c>
      <c r="C24" s="828">
        <f t="shared" si="2"/>
        <v>834655</v>
      </c>
      <c r="D24" s="828">
        <f t="shared" si="2"/>
        <v>42018</v>
      </c>
      <c r="E24" s="854">
        <f t="shared" si="2"/>
        <v>0</v>
      </c>
      <c r="F24" s="854">
        <f t="shared" si="2"/>
        <v>0</v>
      </c>
      <c r="G24" s="855">
        <f t="shared" si="2"/>
        <v>879500</v>
      </c>
    </row>
    <row r="25" spans="1:7" ht="15" customHeight="1" thickTop="1">
      <c r="A25" s="888"/>
      <c r="B25" s="856"/>
      <c r="C25" s="856"/>
      <c r="D25" s="856"/>
      <c r="E25" s="853"/>
      <c r="F25" s="853"/>
      <c r="G25" s="853"/>
    </row>
    <row r="26" spans="1:7" ht="15" customHeight="1">
      <c r="A26" s="888" t="s">
        <v>12</v>
      </c>
      <c r="B26" s="859"/>
      <c r="C26" s="859"/>
      <c r="D26" s="859"/>
      <c r="E26" s="853"/>
      <c r="F26" s="853"/>
      <c r="G26" s="853"/>
    </row>
    <row r="27" spans="1:7" ht="15" customHeight="1">
      <c r="A27" s="888" t="s">
        <v>30</v>
      </c>
      <c r="B27" s="859"/>
      <c r="C27" s="859"/>
      <c r="D27" s="859"/>
      <c r="E27" s="853"/>
      <c r="F27" s="853"/>
      <c r="G27" s="853"/>
    </row>
    <row r="28" spans="1:7" ht="15" customHeight="1">
      <c r="A28" s="889" t="s">
        <v>418</v>
      </c>
      <c r="B28" s="856">
        <v>0</v>
      </c>
      <c r="C28" s="856">
        <v>2741412.88</v>
      </c>
      <c r="D28" s="910">
        <f>833574.45+1</f>
        <v>833575.45</v>
      </c>
      <c r="E28" s="856">
        <v>51052.34</v>
      </c>
      <c r="F28" s="856">
        <v>110000</v>
      </c>
      <c r="G28" s="853">
        <f>SUM(B28:F28)-1</f>
        <v>3736039.67</v>
      </c>
    </row>
    <row r="29" spans="1:7" ht="15" customHeight="1">
      <c r="A29" s="889" t="s">
        <v>419</v>
      </c>
      <c r="B29" s="856">
        <v>0</v>
      </c>
      <c r="C29" s="856">
        <v>114233.83</v>
      </c>
      <c r="D29" s="856">
        <v>49647.74</v>
      </c>
      <c r="E29" s="856">
        <v>18844.02</v>
      </c>
      <c r="F29" s="856">
        <v>45472</v>
      </c>
      <c r="G29" s="853">
        <f>SUM(B29:F29)</f>
        <v>228197.59</v>
      </c>
    </row>
    <row r="30" spans="1:7" ht="15" customHeight="1">
      <c r="A30" s="889" t="s">
        <v>420</v>
      </c>
      <c r="B30" s="856">
        <v>0</v>
      </c>
      <c r="C30" s="856">
        <v>1185.4</v>
      </c>
      <c r="D30" s="856">
        <v>0</v>
      </c>
      <c r="E30" s="856">
        <v>0</v>
      </c>
      <c r="F30" s="856">
        <v>0</v>
      </c>
      <c r="G30" s="853">
        <f>SUM(B30:F30)</f>
        <v>1185.4</v>
      </c>
    </row>
    <row r="31" spans="1:7" ht="15" customHeight="1" thickBot="1">
      <c r="A31" s="890" t="s">
        <v>406</v>
      </c>
      <c r="B31" s="828">
        <f aca="true" t="shared" si="3" ref="B31:G31">SUM(B28:B30)</f>
        <v>0</v>
      </c>
      <c r="C31" s="828">
        <f t="shared" si="3"/>
        <v>2856832.11</v>
      </c>
      <c r="D31" s="828">
        <f t="shared" si="3"/>
        <v>883223.19</v>
      </c>
      <c r="E31" s="854">
        <f t="shared" si="3"/>
        <v>69896.36</v>
      </c>
      <c r="F31" s="854">
        <f>SUM(F28:F30)</f>
        <v>155472</v>
      </c>
      <c r="G31" s="855">
        <f t="shared" si="3"/>
        <v>3965422.6599999997</v>
      </c>
    </row>
    <row r="32" spans="1:7" s="860" customFormat="1" ht="15" customHeight="1" thickTop="1">
      <c r="A32" s="888"/>
      <c r="B32" s="859"/>
      <c r="C32" s="859"/>
      <c r="D32" s="859"/>
      <c r="E32" s="859"/>
      <c r="F32" s="859"/>
      <c r="G32" s="859"/>
    </row>
    <row r="33" spans="1:7" ht="15" customHeight="1">
      <c r="A33" s="888" t="s">
        <v>421</v>
      </c>
      <c r="B33" s="856"/>
      <c r="C33" s="856"/>
      <c r="D33" s="856"/>
      <c r="E33" s="853"/>
      <c r="F33" s="853"/>
      <c r="G33" s="853"/>
    </row>
    <row r="34" spans="1:7" ht="15" customHeight="1">
      <c r="A34" s="889" t="s">
        <v>418</v>
      </c>
      <c r="B34" s="853">
        <f aca="true" t="shared" si="4" ref="B34:F36">B9+(B15+B21-B28)</f>
        <v>249518</v>
      </c>
      <c r="C34" s="853">
        <f>C9+(C15+C21-C28)</f>
        <v>2810050.12</v>
      </c>
      <c r="D34" s="907">
        <f t="shared" si="4"/>
        <v>-309725.44999999995</v>
      </c>
      <c r="E34" s="907">
        <f t="shared" si="4"/>
        <v>-2007.3399999999965</v>
      </c>
      <c r="F34" s="907">
        <f>F9+(F15+F21-F28)</f>
        <v>-5282</v>
      </c>
      <c r="G34" s="853">
        <f>SUM(B34:F34)+1</f>
        <v>2742554.33</v>
      </c>
    </row>
    <row r="35" spans="1:7" ht="15" customHeight="1">
      <c r="A35" s="889" t="s">
        <v>419</v>
      </c>
      <c r="B35" s="853">
        <f>B10+(B16+B22-B29)</f>
        <v>44762</v>
      </c>
      <c r="C35" s="907">
        <f>C10+(C16+C22-C29)</f>
        <v>323775.17</v>
      </c>
      <c r="D35" s="907">
        <f>D10+(D16+D22-D29)</f>
        <v>-20977.739999999998</v>
      </c>
      <c r="E35" s="907">
        <f>E10+(E16+E22-E29)</f>
        <v>-14501.02</v>
      </c>
      <c r="F35" s="907">
        <f t="shared" si="4"/>
        <v>-5472</v>
      </c>
      <c r="G35" s="853">
        <f>SUM(B35:F35)</f>
        <v>327586.41</v>
      </c>
    </row>
    <row r="36" spans="1:7" ht="15" customHeight="1">
      <c r="A36" s="889" t="s">
        <v>420</v>
      </c>
      <c r="B36" s="853">
        <f t="shared" si="4"/>
        <v>0</v>
      </c>
      <c r="C36" s="907">
        <f t="shared" si="4"/>
        <v>-883.4000000000001</v>
      </c>
      <c r="D36" s="853">
        <f t="shared" si="4"/>
        <v>0</v>
      </c>
      <c r="E36" s="853">
        <f t="shared" si="4"/>
        <v>0</v>
      </c>
      <c r="F36" s="853">
        <f t="shared" si="4"/>
        <v>0</v>
      </c>
      <c r="G36" s="907">
        <f>SUM(B36:F36)</f>
        <v>-883.4000000000001</v>
      </c>
    </row>
    <row r="37" spans="1:7" ht="15" customHeight="1" thickBot="1">
      <c r="A37" s="890" t="s">
        <v>406</v>
      </c>
      <c r="B37" s="928">
        <f aca="true" t="shared" si="5" ref="B37:G37">SUM(B34:B36)</f>
        <v>294280</v>
      </c>
      <c r="C37" s="928">
        <f t="shared" si="5"/>
        <v>3132941.89</v>
      </c>
      <c r="D37" s="928">
        <f t="shared" si="5"/>
        <v>-330703.18999999994</v>
      </c>
      <c r="E37" s="928">
        <f t="shared" si="5"/>
        <v>-16508.359999999997</v>
      </c>
      <c r="F37" s="928">
        <f t="shared" si="5"/>
        <v>-10754</v>
      </c>
      <c r="G37" s="928">
        <f t="shared" si="5"/>
        <v>3069257.3400000003</v>
      </c>
    </row>
    <row r="38" spans="2:7" ht="15" customHeight="1" thickTop="1">
      <c r="B38" s="858"/>
      <c r="C38" s="858"/>
      <c r="D38" s="858"/>
      <c r="G38" s="861"/>
    </row>
    <row r="39" spans="1:7" s="783" customFormat="1" ht="15" customHeight="1">
      <c r="A39" s="892"/>
      <c r="B39" s="853"/>
      <c r="C39" s="853"/>
      <c r="D39" s="853"/>
      <c r="E39" s="853"/>
      <c r="F39" s="853"/>
      <c r="G39" s="853"/>
    </row>
    <row r="40" spans="2:4" ht="15" customHeight="1">
      <c r="B40" s="851"/>
      <c r="C40" s="851"/>
      <c r="D40" s="851"/>
    </row>
    <row r="41" spans="2:4" ht="15" customHeight="1">
      <c r="B41" s="851"/>
      <c r="C41" s="851"/>
      <c r="D41" s="851"/>
    </row>
    <row r="42" spans="2:4" ht="15" customHeight="1">
      <c r="B42" s="851"/>
      <c r="C42" s="851"/>
      <c r="D42" s="851"/>
    </row>
    <row r="43" spans="1:4" ht="15" customHeight="1">
      <c r="A43" s="887"/>
      <c r="B43" s="851"/>
      <c r="C43" s="851"/>
      <c r="D43" s="851"/>
    </row>
    <row r="44" spans="1:4" ht="15" customHeight="1">
      <c r="A44" s="887"/>
      <c r="B44" s="851"/>
      <c r="C44" s="851"/>
      <c r="D44" s="851"/>
    </row>
    <row r="45" spans="1:4" ht="15" customHeight="1">
      <c r="A45" s="887"/>
      <c r="B45" s="851"/>
      <c r="C45" s="851"/>
      <c r="D45" s="851"/>
    </row>
    <row r="46" spans="1:4" ht="15" customHeight="1">
      <c r="A46" s="887"/>
      <c r="B46" s="851"/>
      <c r="C46" s="851"/>
      <c r="D46" s="851"/>
    </row>
    <row r="47" spans="1:4" ht="15" customHeight="1">
      <c r="A47" s="887"/>
      <c r="B47" s="851"/>
      <c r="C47" s="851"/>
      <c r="D47" s="851"/>
    </row>
    <row r="48" spans="1:4" ht="15" customHeight="1">
      <c r="A48" s="887"/>
      <c r="B48" s="851"/>
      <c r="C48" s="851"/>
      <c r="D48" s="851"/>
    </row>
    <row r="49" spans="1:4" ht="15" customHeight="1">
      <c r="A49" s="887"/>
      <c r="B49" s="851"/>
      <c r="C49" s="851"/>
      <c r="D49" s="851"/>
    </row>
    <row r="50" spans="1:4" ht="15" customHeight="1">
      <c r="A50" s="887"/>
      <c r="B50" s="851"/>
      <c r="C50" s="851"/>
      <c r="D50" s="851"/>
    </row>
    <row r="51" spans="1:4" ht="15" customHeight="1">
      <c r="A51" s="887"/>
      <c r="B51" s="851"/>
      <c r="C51" s="851"/>
      <c r="D51" s="851"/>
    </row>
    <row r="52" spans="1:4" ht="15" customHeight="1">
      <c r="A52" s="887"/>
      <c r="B52" s="851"/>
      <c r="C52" s="851"/>
      <c r="D52" s="851"/>
    </row>
    <row r="53" spans="1:4" ht="15" customHeight="1">
      <c r="A53" s="887"/>
      <c r="B53" s="851"/>
      <c r="C53" s="851"/>
      <c r="D53" s="851"/>
    </row>
    <row r="54" spans="1:4" ht="15" customHeight="1">
      <c r="A54" s="887"/>
      <c r="B54" s="851"/>
      <c r="C54" s="851"/>
      <c r="D54" s="851"/>
    </row>
    <row r="55" ht="15" customHeight="1">
      <c r="A55" s="887"/>
    </row>
    <row r="56" ht="15" customHeight="1">
      <c r="A56" s="887"/>
    </row>
    <row r="57" ht="15" customHeight="1">
      <c r="A57" s="887"/>
    </row>
    <row r="58" ht="15" customHeight="1">
      <c r="A58" s="887"/>
    </row>
    <row r="59" ht="15" customHeight="1">
      <c r="A59" s="887"/>
    </row>
    <row r="60" ht="15" customHeight="1">
      <c r="A60" s="887"/>
    </row>
    <row r="61" ht="15" customHeight="1">
      <c r="A61" s="887"/>
    </row>
    <row r="62" ht="15" customHeight="1">
      <c r="A62" s="887"/>
    </row>
    <row r="63" ht="15" customHeight="1">
      <c r="A63" s="887"/>
    </row>
    <row r="64" ht="15" customHeight="1">
      <c r="A64" s="887"/>
    </row>
    <row r="65" ht="15" customHeight="1">
      <c r="A65" s="887"/>
    </row>
    <row r="66" ht="15" customHeight="1">
      <c r="A66" s="887"/>
    </row>
    <row r="67" ht="15" customHeight="1">
      <c r="A67" s="887"/>
    </row>
    <row r="68" ht="15" customHeight="1">
      <c r="A68" s="887"/>
    </row>
    <row r="69" ht="15" customHeight="1">
      <c r="A69" s="887"/>
    </row>
    <row r="70" ht="15" customHeight="1">
      <c r="A70" s="887"/>
    </row>
    <row r="71" ht="15" customHeight="1">
      <c r="A71" s="887"/>
    </row>
    <row r="72" ht="15" customHeight="1">
      <c r="A72" s="887"/>
    </row>
    <row r="73" ht="15" customHeight="1">
      <c r="A73" s="887"/>
    </row>
    <row r="74" ht="15" customHeight="1">
      <c r="A74" s="887"/>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8.00390625" style="127" customWidth="1"/>
    <col min="7" max="7" width="20.7109375" style="127" customWidth="1"/>
    <col min="8" max="8" width="15.7109375" style="127" customWidth="1"/>
    <col min="9" max="16384" width="15.7109375" style="18" customWidth="1"/>
  </cols>
  <sheetData>
    <row r="1" spans="1:8" s="258" customFormat="1" ht="30" customHeight="1">
      <c r="A1" s="259" t="s">
        <v>278</v>
      </c>
      <c r="B1" s="307"/>
      <c r="C1" s="307"/>
      <c r="D1" s="307"/>
      <c r="E1" s="335"/>
      <c r="F1" s="335"/>
      <c r="G1" s="336"/>
      <c r="H1" s="260"/>
    </row>
    <row r="2" spans="1:7" ht="15" customHeight="1">
      <c r="A2" s="772"/>
      <c r="B2" s="326"/>
      <c r="C2" s="326"/>
      <c r="D2" s="326"/>
      <c r="E2" s="326"/>
      <c r="F2" s="326"/>
      <c r="G2" s="337"/>
    </row>
    <row r="3" spans="1:8" s="45" customFormat="1" ht="15" customHeight="1">
      <c r="A3" s="634" t="s">
        <v>423</v>
      </c>
      <c r="B3" s="862"/>
      <c r="C3" s="862"/>
      <c r="D3" s="862"/>
      <c r="E3" s="863"/>
      <c r="F3" s="863"/>
      <c r="G3" s="864"/>
      <c r="H3" s="770"/>
    </row>
    <row r="4" spans="1:8" s="45" customFormat="1" ht="15" customHeight="1">
      <c r="A4" s="634" t="s">
        <v>424</v>
      </c>
      <c r="B4" s="862"/>
      <c r="C4" s="862"/>
      <c r="D4" s="862"/>
      <c r="E4" s="863"/>
      <c r="F4" s="863"/>
      <c r="G4" s="864"/>
      <c r="H4" s="770"/>
    </row>
    <row r="5" spans="1:8" s="45" customFormat="1" ht="15" customHeight="1">
      <c r="A5" s="378" t="s">
        <v>5</v>
      </c>
      <c r="B5" s="862"/>
      <c r="C5" s="862"/>
      <c r="D5" s="862"/>
      <c r="E5" s="863"/>
      <c r="F5" s="863"/>
      <c r="G5" s="864"/>
      <c r="H5" s="770"/>
    </row>
    <row r="6" spans="1:7" ht="15" customHeight="1">
      <c r="A6" s="17"/>
      <c r="E6" s="337"/>
      <c r="F6" s="337"/>
      <c r="G6" s="337"/>
    </row>
    <row r="7" spans="1:7" ht="30" customHeight="1">
      <c r="A7" s="47"/>
      <c r="B7" s="873" t="s">
        <v>8</v>
      </c>
      <c r="C7" s="873" t="s">
        <v>490</v>
      </c>
      <c r="D7" s="873" t="s">
        <v>28</v>
      </c>
      <c r="E7" s="873" t="s">
        <v>489</v>
      </c>
      <c r="F7" s="874" t="s">
        <v>9</v>
      </c>
      <c r="G7" s="875" t="s">
        <v>279</v>
      </c>
    </row>
    <row r="8" spans="1:7" ht="30" customHeight="1">
      <c r="A8" s="865" t="s">
        <v>488</v>
      </c>
      <c r="B8" s="311"/>
      <c r="C8" s="311"/>
      <c r="D8" s="311"/>
      <c r="G8" s="866"/>
    </row>
    <row r="9" spans="1:38" ht="15" customHeight="1">
      <c r="A9" s="18" t="s">
        <v>403</v>
      </c>
      <c r="B9" s="867">
        <f>'[11]Loss Expenses Paid QTD-10'!K33</f>
        <v>1956</v>
      </c>
      <c r="C9" s="867">
        <f>'[11]Loss Expenses Paid QTD-10'!K27</f>
        <v>245428</v>
      </c>
      <c r="D9" s="867">
        <f>'[11]Loss Expenses Paid QTD-10'!K21</f>
        <v>29930</v>
      </c>
      <c r="E9" s="867">
        <f>'[11]Loss Expenses Paid QTD-10'!K15</f>
        <v>6705</v>
      </c>
      <c r="F9" s="867">
        <f>'[11]Loss Expenses Paid QTD-10'!K9</f>
        <v>2540</v>
      </c>
      <c r="G9" s="867">
        <f>SUM(B9:F9)</f>
        <v>286559</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404</v>
      </c>
      <c r="B10" s="122">
        <f>'[11]Loss Expenses Paid QTD-10'!K34</f>
        <v>2846</v>
      </c>
      <c r="C10" s="122">
        <f>'[11]Loss Expenses Paid QTD-10'!K28</f>
        <v>45454</v>
      </c>
      <c r="D10" s="122">
        <f>'[11]Loss Expenses Paid QTD-10'!K22</f>
        <v>7407</v>
      </c>
      <c r="E10" s="122">
        <f>'[11]Loss Expenses Paid QTD-10'!K16</f>
        <v>1706</v>
      </c>
      <c r="F10" s="905">
        <f>'[11]Loss Expenses Paid QTD-10'!K10</f>
        <v>4368</v>
      </c>
      <c r="G10" s="122">
        <f>SUM(B10:F10)</f>
        <v>61781</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405</v>
      </c>
      <c r="B11" s="122">
        <f>'[11]Loss Expenses Paid QTD-10'!K35</f>
        <v>0</v>
      </c>
      <c r="C11" s="122">
        <f>'[11]Loss Expenses Paid QTD-10'!K29</f>
        <v>639</v>
      </c>
      <c r="D11" s="122">
        <f>'[11]Loss Expenses Paid QTD-10'!K23</f>
        <v>0</v>
      </c>
      <c r="E11" s="122">
        <f>'[11]Loss Expenses Paid QTD-10'!K17</f>
        <v>0</v>
      </c>
      <c r="F11" s="122">
        <f>'[11]Loss Expenses Paid QTD-10'!K11</f>
        <v>0</v>
      </c>
      <c r="G11" s="122">
        <f>SUM(B11:F11)</f>
        <v>639</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8" t="s">
        <v>406</v>
      </c>
      <c r="B12" s="332">
        <f aca="true" t="shared" si="0" ref="B12:G12">SUM(B9:B11)</f>
        <v>4802</v>
      </c>
      <c r="C12" s="332">
        <f t="shared" si="0"/>
        <v>291521</v>
      </c>
      <c r="D12" s="332">
        <f t="shared" si="0"/>
        <v>37337</v>
      </c>
      <c r="E12" s="332">
        <f t="shared" si="0"/>
        <v>8411</v>
      </c>
      <c r="F12" s="332">
        <f t="shared" si="0"/>
        <v>6908</v>
      </c>
      <c r="G12" s="129">
        <f t="shared" si="0"/>
        <v>348979</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69" t="s">
        <v>6</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403</v>
      </c>
      <c r="B15" s="126">
        <f>'[11]Unpaid Loss Expense Reserves-9'!B29</f>
        <v>18451</v>
      </c>
      <c r="C15" s="126">
        <f>'[11]Unpaid Loss Expense Reserves-9'!C29</f>
        <v>299599</v>
      </c>
      <c r="D15" s="126">
        <f>'[11]Unpaid Loss Expense Reserves-9'!D29</f>
        <v>80429</v>
      </c>
      <c r="E15" s="122">
        <f>'[11]Unpaid Loss Expense Reserves-9'!E29</f>
        <v>18977</v>
      </c>
      <c r="F15" s="122">
        <f>'[11]Unpaid Loss Expense Reserves-9'!F29</f>
        <v>4871</v>
      </c>
      <c r="G15" s="122">
        <f>SUM(B15:F15)</f>
        <v>422327</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404</v>
      </c>
      <c r="B16" s="126">
        <f>'[11]Unpaid Loss Expense Reserves-9'!B30</f>
        <v>2792</v>
      </c>
      <c r="C16" s="126">
        <f>'[11]Unpaid Loss Expense Reserves-9'!C30</f>
        <v>27806</v>
      </c>
      <c r="D16" s="126">
        <f>'[11]Unpaid Loss Expense Reserves-9'!D30</f>
        <v>2144</v>
      </c>
      <c r="E16" s="122">
        <f>'[11]Unpaid Loss Expense Reserves-9'!E30</f>
        <v>0</v>
      </c>
      <c r="F16" s="122">
        <f>'[11]Unpaid Loss Expense Reserves-9'!F30</f>
        <v>6846</v>
      </c>
      <c r="G16" s="122">
        <f>SUM(B16:F16)</f>
        <v>39588</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405</v>
      </c>
      <c r="B17" s="122">
        <f>'[11]Unpaid Loss Expense Reserves-9'!B31</f>
        <v>0</v>
      </c>
      <c r="C17" s="122">
        <f>'[11]Unpaid Loss Expense Reserves-9'!C31</f>
        <v>0</v>
      </c>
      <c r="D17" s="122">
        <f>'[11]Unpaid Loss Expense Reserves-9'!D31</f>
        <v>0</v>
      </c>
      <c r="E17" s="122">
        <f>'[11]Unpaid Loss Expense Reserves-9'!E31</f>
        <v>0</v>
      </c>
      <c r="F17" s="122">
        <f>'[11]Unpaid Loss Expense Reserves-9'!F31</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8" t="s">
        <v>406</v>
      </c>
      <c r="B18" s="138">
        <f aca="true" t="shared" si="1" ref="B18:G18">SUM(B15:B17)</f>
        <v>21243</v>
      </c>
      <c r="C18" s="138">
        <f t="shared" si="1"/>
        <v>327405</v>
      </c>
      <c r="D18" s="138">
        <f t="shared" si="1"/>
        <v>82573</v>
      </c>
      <c r="E18" s="332">
        <f t="shared" si="1"/>
        <v>18977</v>
      </c>
      <c r="F18" s="332">
        <f t="shared" si="1"/>
        <v>11717</v>
      </c>
      <c r="G18" s="129">
        <f t="shared" si="1"/>
        <v>461915</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0"/>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69" t="s">
        <v>7</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403</v>
      </c>
      <c r="B21" s="126">
        <v>0</v>
      </c>
      <c r="C21" s="126">
        <v>260842.87</v>
      </c>
      <c r="D21" s="906">
        <v>136364.92</v>
      </c>
      <c r="E21" s="122">
        <f>206.49+1</f>
        <v>207.49</v>
      </c>
      <c r="F21" s="122">
        <v>6841.56</v>
      </c>
      <c r="G21" s="122">
        <f>SUM(B21:F21)</f>
        <v>404256.84</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426</v>
      </c>
      <c r="B22" s="126">
        <v>0</v>
      </c>
      <c r="C22" s="126">
        <v>10869.24</v>
      </c>
      <c r="D22" s="126">
        <v>11582.88</v>
      </c>
      <c r="E22" s="122">
        <f>25760.58-1</f>
        <v>25759.58</v>
      </c>
      <c r="F22" s="122">
        <v>10058.84</v>
      </c>
      <c r="G22" s="122">
        <f>SUM(B22:F22)</f>
        <v>58270.53999999999</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405</v>
      </c>
      <c r="B23" s="126">
        <v>0</v>
      </c>
      <c r="C23" s="126">
        <v>112.79</v>
      </c>
      <c r="D23" s="126">
        <v>0</v>
      </c>
      <c r="E23" s="122">
        <v>0</v>
      </c>
      <c r="F23" s="122">
        <v>0</v>
      </c>
      <c r="G23" s="122">
        <f>SUM(B23:F23)</f>
        <v>112.79</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8" t="s">
        <v>406</v>
      </c>
      <c r="B24" s="138">
        <f>SUM(B21:B23)</f>
        <v>0</v>
      </c>
      <c r="C24" s="138">
        <f>SUM(C21:C23)</f>
        <v>271824.89999999997</v>
      </c>
      <c r="D24" s="138">
        <f>SUM(D21:D23)</f>
        <v>147947.80000000002</v>
      </c>
      <c r="E24" s="332">
        <f>SUM(E21:E23)</f>
        <v>25967.070000000003</v>
      </c>
      <c r="F24" s="332">
        <f>SUM(F21:F23)+1</f>
        <v>16901.4</v>
      </c>
      <c r="G24" s="129">
        <f>SUM(G21:G23)+1</f>
        <v>462641.17</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1"/>
      <c r="J25" s="871"/>
      <c r="K25" s="871"/>
      <c r="L25" s="871"/>
      <c r="M25" s="871"/>
      <c r="N25" s="871"/>
      <c r="O25" s="871"/>
      <c r="P25" s="871"/>
      <c r="Q25" s="871"/>
      <c r="R25" s="871"/>
      <c r="S25" s="871"/>
      <c r="T25" s="871"/>
      <c r="U25" s="871"/>
      <c r="V25" s="871"/>
      <c r="W25" s="871"/>
      <c r="X25" s="871"/>
      <c r="Y25" s="871"/>
      <c r="Z25" s="871"/>
      <c r="AA25" s="871"/>
      <c r="AB25" s="871"/>
      <c r="AC25" s="871"/>
      <c r="AD25" s="871"/>
      <c r="AE25" s="871"/>
      <c r="AF25" s="871"/>
      <c r="AG25" s="871"/>
      <c r="AH25" s="871"/>
      <c r="AI25" s="871"/>
      <c r="AJ25" s="871"/>
      <c r="AK25" s="871"/>
      <c r="AL25" s="871"/>
    </row>
    <row r="26" spans="1:38" s="23" customFormat="1" ht="30" customHeight="1">
      <c r="A26" s="869" t="s">
        <v>463</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403</v>
      </c>
      <c r="B27" s="122">
        <f aca="true" t="shared" si="2" ref="B27:F29">B9+B15-B21</f>
        <v>20407</v>
      </c>
      <c r="C27" s="122">
        <f t="shared" si="2"/>
        <v>284184.13</v>
      </c>
      <c r="D27" s="905">
        <f>D9+D15-D21</f>
        <v>-26005.920000000013</v>
      </c>
      <c r="E27" s="122">
        <f>E9+E15-E21</f>
        <v>25474.51</v>
      </c>
      <c r="F27" s="122">
        <f t="shared" si="2"/>
        <v>569.4399999999996</v>
      </c>
      <c r="G27" s="122">
        <f>SUM(B27:F27)</f>
        <v>304629.16</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404</v>
      </c>
      <c r="B28" s="122">
        <f>B10+B16-B22</f>
        <v>5638</v>
      </c>
      <c r="C28" s="905">
        <f>C10+C16-C22</f>
        <v>62390.76</v>
      </c>
      <c r="D28" s="905">
        <f>D10+D16-D22</f>
        <v>-2031.8799999999992</v>
      </c>
      <c r="E28" s="905">
        <f t="shared" si="2"/>
        <v>-24053.58</v>
      </c>
      <c r="F28" s="905">
        <f t="shared" si="2"/>
        <v>1155.1599999999999</v>
      </c>
      <c r="G28" s="905">
        <f>SUM(B28:F28)</f>
        <v>43098.46000000001</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405</v>
      </c>
      <c r="B29" s="122">
        <f t="shared" si="2"/>
        <v>0</v>
      </c>
      <c r="C29" s="122">
        <f>C11+C17-C23</f>
        <v>526.21</v>
      </c>
      <c r="D29" s="122">
        <f t="shared" si="2"/>
        <v>0</v>
      </c>
      <c r="E29" s="122">
        <f t="shared" si="2"/>
        <v>0</v>
      </c>
      <c r="F29" s="122">
        <f t="shared" si="2"/>
        <v>0</v>
      </c>
      <c r="G29" s="122">
        <f>SUM(B29:F29)</f>
        <v>526.21</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406</v>
      </c>
      <c r="B30" s="343">
        <f>SUM(B27:B29)</f>
        <v>26045</v>
      </c>
      <c r="C30" s="343">
        <f>SUM(C27:C29)</f>
        <v>347101.10000000003</v>
      </c>
      <c r="D30" s="933">
        <f>SUM(D27:D29)</f>
        <v>-28037.80000000001</v>
      </c>
      <c r="E30" s="343">
        <f>SUM(E27:E29)</f>
        <v>1420.9299999999967</v>
      </c>
      <c r="F30" s="343">
        <f>SUM(F27:F29)-1</f>
        <v>1723.5999999999995</v>
      </c>
      <c r="G30" s="343">
        <f>SUM(G27:G29)-1</f>
        <v>348252.83</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7
</oddFooter>
  </headerFooter>
</worksheet>
</file>

<file path=xl/worksheets/sheet14.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278</v>
      </c>
      <c r="B1" s="307"/>
      <c r="C1" s="307"/>
      <c r="D1" s="324"/>
      <c r="E1" s="324"/>
      <c r="F1" s="324"/>
      <c r="G1" s="325"/>
    </row>
    <row r="2" spans="1:7" ht="19.5" customHeight="1">
      <c r="A2" s="19"/>
      <c r="B2" s="308"/>
      <c r="C2" s="308"/>
      <c r="D2" s="326"/>
      <c r="E2" s="326"/>
      <c r="F2" s="308"/>
      <c r="G2" s="308"/>
    </row>
    <row r="3" spans="1:7" s="103" customFormat="1" ht="18.75">
      <c r="A3" s="102" t="s">
        <v>412</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70</v>
      </c>
      <c r="C6" s="310" t="s">
        <v>74</v>
      </c>
      <c r="D6" s="322" t="s">
        <v>170</v>
      </c>
      <c r="E6" s="322" t="s">
        <v>240</v>
      </c>
      <c r="F6" s="322" t="s">
        <v>125</v>
      </c>
      <c r="G6" s="323" t="s">
        <v>279</v>
      </c>
    </row>
    <row r="7" spans="1:7" ht="15.75">
      <c r="A7" s="105" t="s">
        <v>413</v>
      </c>
      <c r="D7" s="330"/>
      <c r="E7" s="330"/>
      <c r="F7" s="330"/>
      <c r="G7" s="330"/>
    </row>
    <row r="8" spans="1:8" ht="15">
      <c r="A8" s="105" t="s">
        <v>414</v>
      </c>
      <c r="B8" s="311"/>
      <c r="C8" s="311"/>
      <c r="D8" s="330"/>
      <c r="E8" s="330"/>
      <c r="F8" s="330"/>
      <c r="G8" s="330"/>
      <c r="H8" s="114"/>
    </row>
    <row r="9" spans="1:8" ht="14.25">
      <c r="A9" s="106" t="s">
        <v>415</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261</v>
      </c>
    </row>
    <row r="10" spans="1:8" s="23" customFormat="1" ht="14.25">
      <c r="A10" s="107" t="s">
        <v>416</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262</v>
      </c>
    </row>
    <row r="11" spans="1:8" s="23" customFormat="1" ht="14.25">
      <c r="A11" s="107" t="s">
        <v>417</v>
      </c>
      <c r="B11" s="315" t="e">
        <f>+'[1]TB03-31-04(Final)'!D386</f>
        <v>#REF!</v>
      </c>
      <c r="C11" s="315" t="e">
        <f>+'[1]TB03-31-04(Final)'!F385</f>
        <v>#REF!</v>
      </c>
      <c r="D11" s="315" t="e">
        <f>+'[1]TB03-31-04(Final)'!F384</f>
        <v>#REF!</v>
      </c>
      <c r="E11" s="315">
        <f>+'[1]TB03-31-04(Final)'!F382</f>
        <v>0</v>
      </c>
      <c r="F11" s="315">
        <f>+'[1]TB03-31-04(Final)'!F381</f>
        <v>0</v>
      </c>
      <c r="G11" s="331" t="e">
        <f>SUM(B11:F11)</f>
        <v>#REF!</v>
      </c>
      <c r="H11" s="25" t="s">
        <v>263</v>
      </c>
    </row>
    <row r="12" spans="1:8" s="23" customFormat="1" ht="15.75" thickBot="1">
      <c r="A12" s="108" t="s">
        <v>406</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179</v>
      </c>
      <c r="B14" s="126"/>
      <c r="C14" s="126"/>
      <c r="D14" s="331"/>
      <c r="E14" s="331"/>
      <c r="F14" s="331"/>
      <c r="G14" s="331"/>
    </row>
    <row r="15" spans="1:7" s="23" customFormat="1" ht="14.25">
      <c r="A15" s="106" t="s">
        <v>418</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419</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420</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406</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229</v>
      </c>
      <c r="B20" s="312" t="s">
        <v>277</v>
      </c>
      <c r="C20" s="312" t="s">
        <v>277</v>
      </c>
      <c r="D20" s="331"/>
      <c r="E20" s="331"/>
      <c r="F20" s="331"/>
      <c r="G20" s="331"/>
    </row>
    <row r="21" spans="1:7" s="23" customFormat="1" ht="14.25">
      <c r="A21" s="106" t="s">
        <v>418</v>
      </c>
      <c r="B21" s="126">
        <v>0</v>
      </c>
      <c r="C21" s="126">
        <v>3812745.98</v>
      </c>
      <c r="D21" s="331">
        <v>796383.95</v>
      </c>
      <c r="E21" s="331">
        <v>173012</v>
      </c>
      <c r="F21" s="331">
        <f>4+76330.03</f>
        <v>76334.03</v>
      </c>
      <c r="G21" s="331">
        <f>SUM(B21:F21)</f>
        <v>4858475.96</v>
      </c>
    </row>
    <row r="22" spans="1:7" s="23" customFormat="1" ht="14.25">
      <c r="A22" s="106" t="s">
        <v>419</v>
      </c>
      <c r="B22" s="126">
        <v>0</v>
      </c>
      <c r="C22" s="126">
        <v>582572.89</v>
      </c>
      <c r="D22" s="331">
        <v>136273.61</v>
      </c>
      <c r="E22" s="331">
        <v>-982</v>
      </c>
      <c r="F22" s="331">
        <f>365.82+1967</f>
        <v>2332.82</v>
      </c>
      <c r="G22" s="331">
        <f>SUM(B22:F22)</f>
        <v>720197.32</v>
      </c>
    </row>
    <row r="23" spans="1:7" s="23" customFormat="1" ht="14.25">
      <c r="A23" s="106" t="s">
        <v>420</v>
      </c>
      <c r="B23" s="126">
        <v>0</v>
      </c>
      <c r="C23" s="126">
        <v>8803.51</v>
      </c>
      <c r="D23" s="331">
        <v>0</v>
      </c>
      <c r="E23" s="331">
        <v>0</v>
      </c>
      <c r="F23" s="331">
        <v>0</v>
      </c>
      <c r="G23" s="331">
        <f>SUM(B23:F23)</f>
        <v>8803.51</v>
      </c>
    </row>
    <row r="24" spans="1:8" s="23" customFormat="1" ht="15.75" thickBot="1">
      <c r="A24" s="108" t="s">
        <v>406</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421</v>
      </c>
      <c r="B26" s="126"/>
      <c r="C26" s="126"/>
      <c r="D26" s="331"/>
      <c r="E26" s="331"/>
      <c r="F26" s="331"/>
      <c r="G26" s="331"/>
    </row>
    <row r="27" spans="1:9" s="23" customFormat="1" ht="14.25">
      <c r="A27" s="106" t="s">
        <v>418</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394</v>
      </c>
      <c r="I27" s="23" t="s">
        <v>397</v>
      </c>
    </row>
    <row r="28" spans="1:8" s="23" customFormat="1" ht="14.25">
      <c r="A28" s="106" t="s">
        <v>419</v>
      </c>
      <c r="B28" s="331" t="e">
        <f t="shared" si="1"/>
        <v>#REF!</v>
      </c>
      <c r="C28" s="331" t="e">
        <f t="shared" si="1"/>
        <v>#REF!</v>
      </c>
      <c r="D28" s="331" t="e">
        <f t="shared" si="2"/>
        <v>#REF!</v>
      </c>
      <c r="E28" s="331">
        <f t="shared" si="2"/>
        <v>70972.57</v>
      </c>
      <c r="F28" s="331" t="e">
        <f>F10+(F16-F22)</f>
        <v>#REF!</v>
      </c>
      <c r="G28" s="331" t="e">
        <f>SUM(B28:F28)</f>
        <v>#REF!</v>
      </c>
      <c r="H28" s="25" t="s">
        <v>395</v>
      </c>
    </row>
    <row r="29" spans="1:8" s="23" customFormat="1" ht="14.25">
      <c r="A29" s="106" t="s">
        <v>420</v>
      </c>
      <c r="B29" s="331" t="e">
        <f t="shared" si="1"/>
        <v>#REF!</v>
      </c>
      <c r="C29" s="331" t="e">
        <f t="shared" si="1"/>
        <v>#REF!</v>
      </c>
      <c r="D29" s="331" t="e">
        <f t="shared" si="2"/>
        <v>#REF!</v>
      </c>
      <c r="E29" s="331">
        <f t="shared" si="2"/>
        <v>0</v>
      </c>
      <c r="F29" s="331" t="e">
        <f>F11+(F17-F23)</f>
        <v>#REF!</v>
      </c>
      <c r="G29" s="331" t="e">
        <f>SUM(B29:F29)</f>
        <v>#REF!</v>
      </c>
      <c r="H29" s="25" t="s">
        <v>396</v>
      </c>
    </row>
    <row r="30" spans="1:9" ht="15.75" thickBot="1">
      <c r="A30" s="108" t="s">
        <v>406</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457</v>
      </c>
      <c r="D33" s="348"/>
      <c r="E33" s="348"/>
      <c r="F33" s="348"/>
      <c r="G33" s="349" t="s">
        <v>455</v>
      </c>
    </row>
    <row r="34" spans="1:7" ht="14.25">
      <c r="A34" s="106" t="s">
        <v>418</v>
      </c>
      <c r="B34" s="126">
        <f>468189.06-222137.25</f>
        <v>246051.81</v>
      </c>
      <c r="C34" s="126">
        <f>468189.06-222137.25</f>
        <v>246051.81</v>
      </c>
      <c r="D34" s="126">
        <f>448199.18-670918.35</f>
        <v>-222719.16999999998</v>
      </c>
      <c r="E34" s="350">
        <v>0</v>
      </c>
      <c r="F34" s="350">
        <v>0</v>
      </c>
      <c r="G34" s="122">
        <f>SUM(B34:F34)</f>
        <v>269384.45</v>
      </c>
    </row>
    <row r="35" spans="1:7" ht="14.25">
      <c r="A35" s="106" t="s">
        <v>419</v>
      </c>
      <c r="B35" s="126">
        <f>175542.97-81939.83</f>
        <v>93603.14</v>
      </c>
      <c r="C35" s="126">
        <f>175542.97-81939.83</f>
        <v>93603.14</v>
      </c>
      <c r="D35" s="126">
        <f>180110.78-278566.43</f>
        <v>-98455.65</v>
      </c>
      <c r="E35" s="350">
        <v>0</v>
      </c>
      <c r="F35" s="350">
        <v>0</v>
      </c>
      <c r="G35" s="122">
        <f>SUM(B35:F35)</f>
        <v>88750.63</v>
      </c>
    </row>
    <row r="36" spans="1:7" ht="14.25">
      <c r="A36" s="106" t="s">
        <v>420</v>
      </c>
      <c r="B36" s="126">
        <f>3215.61-1526.93</f>
        <v>1688.68</v>
      </c>
      <c r="C36" s="126">
        <f>3215.61-1526.93</f>
        <v>1688.68</v>
      </c>
      <c r="D36" s="126">
        <f>3443.46-5433.83</f>
        <v>-1990.37</v>
      </c>
      <c r="E36" s="350">
        <v>0</v>
      </c>
      <c r="F36" s="350">
        <v>0</v>
      </c>
      <c r="G36" s="122">
        <f>SUM(B36:F36)</f>
        <v>1386.9900000000002</v>
      </c>
    </row>
    <row r="37" spans="1:7" ht="15.75" thickBot="1">
      <c r="A37" s="108" t="s">
        <v>406</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297</v>
      </c>
      <c r="B39" s="322" t="s">
        <v>74</v>
      </c>
      <c r="C39" s="322" t="s">
        <v>74</v>
      </c>
      <c r="D39" s="322" t="s">
        <v>170</v>
      </c>
      <c r="E39" s="322" t="s">
        <v>240</v>
      </c>
      <c r="F39" s="322" t="s">
        <v>312</v>
      </c>
      <c r="G39" s="323" t="s">
        <v>279</v>
      </c>
      <c r="H39" s="251"/>
    </row>
    <row r="40" spans="2:8" ht="15.75">
      <c r="B40" s="313"/>
      <c r="C40" s="313"/>
      <c r="D40" s="318"/>
      <c r="E40" s="318"/>
      <c r="F40" s="320"/>
      <c r="G40" s="315"/>
      <c r="H40" s="252" t="e">
        <f>+'[1]TB03-31-04(Final)'!G455</f>
        <v>#REF!</v>
      </c>
    </row>
    <row r="41" spans="1:8" ht="12.75" customHeight="1">
      <c r="A41" s="106" t="s">
        <v>418</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419</v>
      </c>
      <c r="B42" s="314" t="e">
        <f>+B28-B35</f>
        <v>#REF!</v>
      </c>
      <c r="C42" s="314" t="e">
        <f t="shared" si="4"/>
        <v>#REF!</v>
      </c>
      <c r="D42" s="314" t="e">
        <f t="shared" si="4"/>
        <v>#REF!</v>
      </c>
      <c r="E42" s="314">
        <f t="shared" si="4"/>
        <v>70972.57</v>
      </c>
      <c r="F42" s="314" t="e">
        <f t="shared" si="4"/>
        <v>#REF!</v>
      </c>
      <c r="G42" s="315" t="e">
        <f>SUM(C42:F42)</f>
        <v>#REF!</v>
      </c>
      <c r="H42" s="96"/>
    </row>
    <row r="43" spans="1:8" ht="14.25">
      <c r="A43" s="106" t="s">
        <v>420</v>
      </c>
      <c r="B43" s="314" t="e">
        <f>+B29-B36</f>
        <v>#REF!</v>
      </c>
      <c r="C43" s="314" t="e">
        <f>+C29-C36</f>
        <v>#REF!</v>
      </c>
      <c r="D43" s="314" t="e">
        <f>+D29-D36</f>
        <v>#REF!</v>
      </c>
      <c r="E43" s="314">
        <f>+E29-E35</f>
        <v>0</v>
      </c>
      <c r="F43" s="314" t="e">
        <f>+F29-F35</f>
        <v>#REF!</v>
      </c>
      <c r="G43" s="315" t="e">
        <f>SUM(C43:F43)</f>
        <v>#REF!</v>
      </c>
      <c r="H43" s="96"/>
    </row>
    <row r="44" spans="1:8" ht="15.75" thickBot="1">
      <c r="A44" s="108" t="s">
        <v>406</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15.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995" t="s">
        <v>278</v>
      </c>
      <c r="B1" s="995"/>
      <c r="C1" s="995"/>
      <c r="D1" s="995"/>
      <c r="E1" s="995"/>
      <c r="F1" s="995"/>
      <c r="G1" s="995"/>
      <c r="H1" s="995"/>
    </row>
    <row r="2" spans="1:8" ht="19.5" customHeight="1">
      <c r="A2" s="994"/>
      <c r="B2" s="994"/>
      <c r="C2" s="994"/>
      <c r="D2" s="994"/>
      <c r="E2" s="994"/>
      <c r="F2" s="994"/>
      <c r="G2" s="994"/>
      <c r="H2" s="994"/>
    </row>
    <row r="3" spans="1:8" s="103" customFormat="1" ht="18.75">
      <c r="A3" s="996" t="s">
        <v>412</v>
      </c>
      <c r="B3" s="996"/>
      <c r="C3" s="996"/>
      <c r="D3" s="996"/>
      <c r="E3" s="996"/>
      <c r="F3" s="996"/>
      <c r="G3" s="996"/>
      <c r="H3" s="996"/>
    </row>
    <row r="4" spans="1:8" s="103" customFormat="1" ht="18.75">
      <c r="A4" s="996" t="str">
        <f>+'(7)Premiums YTD8'!A4</f>
        <v>YTD PERIOD MARCH 31st, 2004</v>
      </c>
      <c r="B4" s="996"/>
      <c r="C4" s="996"/>
      <c r="D4" s="996"/>
      <c r="E4" s="996"/>
      <c r="F4" s="996"/>
      <c r="G4" s="996"/>
      <c r="H4" s="996"/>
    </row>
    <row r="5" spans="1:8" s="103" customFormat="1" ht="16.5">
      <c r="A5" s="453"/>
      <c r="B5" s="376"/>
      <c r="C5" s="376"/>
      <c r="D5" s="454"/>
      <c r="E5" s="454"/>
      <c r="F5" s="454"/>
      <c r="G5" s="377"/>
      <c r="H5" s="454"/>
    </row>
    <row r="6" spans="1:8" ht="30" customHeight="1">
      <c r="A6" s="455"/>
      <c r="B6" s="570" t="s">
        <v>70</v>
      </c>
      <c r="C6" s="570" t="s">
        <v>74</v>
      </c>
      <c r="D6" s="570" t="s">
        <v>170</v>
      </c>
      <c r="E6" s="570" t="s">
        <v>240</v>
      </c>
      <c r="F6" s="570" t="s">
        <v>125</v>
      </c>
      <c r="G6" s="571" t="s">
        <v>260</v>
      </c>
      <c r="H6" s="571" t="s">
        <v>279</v>
      </c>
    </row>
    <row r="7" spans="1:8" s="127" customFormat="1" ht="15.75">
      <c r="A7" s="567" t="s">
        <v>413</v>
      </c>
      <c r="B7" s="456"/>
      <c r="C7" s="456"/>
      <c r="D7" s="457"/>
      <c r="E7" s="457"/>
      <c r="F7" s="457"/>
      <c r="G7" s="457"/>
      <c r="H7" s="457"/>
    </row>
    <row r="8" spans="1:8" s="127" customFormat="1" ht="15">
      <c r="A8" s="567" t="s">
        <v>414</v>
      </c>
      <c r="B8" s="375"/>
      <c r="C8" s="375"/>
      <c r="D8" s="457"/>
      <c r="E8" s="457"/>
      <c r="F8" s="457"/>
      <c r="G8" s="457"/>
      <c r="H8" s="457"/>
    </row>
    <row r="9" spans="1:9" ht="14.25">
      <c r="A9" s="568" t="s">
        <v>415</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78">
        <f>SUM(D9:F9)</f>
        <v>54975.26</v>
      </c>
      <c r="H9" s="478">
        <f>SUM(B9:F9)</f>
        <v>3052993.78</v>
      </c>
      <c r="I9" s="25"/>
    </row>
    <row r="10" spans="1:8" s="23" customFormat="1" ht="14.25">
      <c r="A10" s="568" t="s">
        <v>416</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68" t="s">
        <v>417</v>
      </c>
      <c r="B11" s="331">
        <f>+'[1]TB03-31-04(Final)'!F383</f>
        <v>1229</v>
      </c>
      <c r="C11" s="331" t="e">
        <f>+'[1]TB03-31-04(Final)'!F382+'[1]TB03-31-04(Final)'!F385</f>
        <v>#REF!</v>
      </c>
      <c r="D11" s="331" t="e">
        <f>+'[1]TB03-31-04(Final)'!F384</f>
        <v>#REF!</v>
      </c>
      <c r="E11" s="331">
        <v>0</v>
      </c>
      <c r="F11" s="331">
        <f>+'[1]TB03-31-04(Final)'!F381</f>
        <v>0</v>
      </c>
      <c r="G11" s="331" t="e">
        <f>SUM(D11:F11)</f>
        <v>#REF!</v>
      </c>
      <c r="H11" s="512" t="e">
        <f>SUM(B11:F11)</f>
        <v>#REF!</v>
      </c>
    </row>
    <row r="12" spans="1:10" s="23" customFormat="1" ht="15.75" thickBot="1">
      <c r="A12" s="452" t="s">
        <v>406</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8"/>
      <c r="B13" s="126"/>
      <c r="C13" s="126"/>
      <c r="D13" s="331"/>
      <c r="E13" s="331"/>
      <c r="F13" s="331"/>
      <c r="G13" s="331"/>
      <c r="H13" s="331"/>
      <c r="I13" s="23">
        <f>+'[1]TB03-31-04(Final)'!G407</f>
        <v>3783761.3799999994</v>
      </c>
      <c r="J13" s="23" t="e">
        <f>+H12-I13</f>
        <v>#REF!</v>
      </c>
    </row>
    <row r="14" spans="1:9" s="23" customFormat="1" ht="15">
      <c r="A14" s="452" t="s">
        <v>35</v>
      </c>
      <c r="B14" s="126"/>
      <c r="C14" s="126"/>
      <c r="D14" s="555"/>
      <c r="E14" s="555"/>
      <c r="F14" s="555"/>
      <c r="G14" s="331"/>
      <c r="H14" s="331"/>
      <c r="I14" s="287"/>
    </row>
    <row r="15" spans="1:8" s="23" customFormat="1" ht="14.25">
      <c r="A15" s="568" t="s">
        <v>418</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68" t="s">
        <v>419</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68" t="s">
        <v>420</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2" t="s">
        <v>406</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58"/>
      <c r="B19" s="126"/>
      <c r="C19" s="126"/>
      <c r="D19" s="331"/>
      <c r="E19" s="331"/>
      <c r="F19" s="331"/>
      <c r="G19" s="331"/>
      <c r="H19" s="331"/>
    </row>
    <row r="20" spans="1:8" s="23" customFormat="1" ht="15">
      <c r="A20" s="452" t="s">
        <v>229</v>
      </c>
      <c r="B20" s="312"/>
      <c r="C20" s="312"/>
      <c r="D20" s="331"/>
      <c r="E20" s="331"/>
      <c r="F20" s="331"/>
      <c r="G20" s="331"/>
      <c r="H20" s="331"/>
    </row>
    <row r="21" spans="1:8" s="23" customFormat="1" ht="14.25">
      <c r="A21" s="568" t="s">
        <v>418</v>
      </c>
      <c r="B21" s="126">
        <v>0</v>
      </c>
      <c r="C21" s="126">
        <v>3812746</v>
      </c>
      <c r="D21" s="331">
        <v>796384</v>
      </c>
      <c r="E21" s="331">
        <v>173012</v>
      </c>
      <c r="F21" s="331">
        <f>4+76330</f>
        <v>76334</v>
      </c>
      <c r="G21" s="331">
        <f>+'[3]Losses Incurred QTR'!$F$21</f>
        <v>149640.16</v>
      </c>
      <c r="H21" s="331">
        <f>SUM(B21:F21)</f>
        <v>4858476</v>
      </c>
    </row>
    <row r="22" spans="1:8" s="23" customFormat="1" ht="14.25">
      <c r="A22" s="568" t="s">
        <v>419</v>
      </c>
      <c r="B22" s="126">
        <v>0</v>
      </c>
      <c r="C22" s="126">
        <v>582573</v>
      </c>
      <c r="D22" s="331">
        <v>136274</v>
      </c>
      <c r="E22" s="331">
        <v>-982</v>
      </c>
      <c r="F22" s="331">
        <f>366+1967</f>
        <v>2333</v>
      </c>
      <c r="G22" s="331">
        <f>+'[3]Losses Incurred QTR'!$F$22</f>
        <v>60667.2</v>
      </c>
      <c r="H22" s="331">
        <f>SUM(B22:F22)-1</f>
        <v>720197</v>
      </c>
    </row>
    <row r="23" spans="1:8" s="23" customFormat="1" ht="14.25">
      <c r="A23" s="568" t="s">
        <v>420</v>
      </c>
      <c r="B23" s="126">
        <v>0</v>
      </c>
      <c r="C23" s="126">
        <v>8804</v>
      </c>
      <c r="D23" s="331">
        <v>0</v>
      </c>
      <c r="E23" s="331">
        <v>0</v>
      </c>
      <c r="F23" s="331">
        <v>0</v>
      </c>
      <c r="G23" s="331">
        <f>+'[3]Losses Incurred QTR'!$F$23</f>
        <v>-8764</v>
      </c>
      <c r="H23" s="331">
        <f>SUM(B23:F23)</f>
        <v>8804</v>
      </c>
    </row>
    <row r="24" spans="1:9" s="23" customFormat="1" ht="15.75" thickBot="1">
      <c r="A24" s="452" t="s">
        <v>406</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8"/>
      <c r="B25" s="126"/>
      <c r="C25" s="126"/>
      <c r="D25" s="331"/>
      <c r="E25" s="331"/>
      <c r="F25" s="331"/>
      <c r="G25" s="331"/>
      <c r="H25" s="331"/>
      <c r="I25" s="23">
        <f>+I18-I24</f>
        <v>2259279.2299999995</v>
      </c>
    </row>
    <row r="26" spans="1:9" s="23" customFormat="1" ht="15">
      <c r="A26" s="452" t="s">
        <v>456</v>
      </c>
      <c r="B26" s="126"/>
      <c r="C26" s="126"/>
      <c r="D26" s="331"/>
      <c r="E26" s="331"/>
      <c r="F26" s="331"/>
      <c r="G26" s="331"/>
      <c r="H26" s="331"/>
      <c r="I26" s="23" t="e">
        <f>+H12+I25</f>
        <v>#REF!</v>
      </c>
    </row>
    <row r="27" spans="1:8" s="23" customFormat="1" ht="14.25">
      <c r="A27" s="568" t="s">
        <v>418</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8" t="s">
        <v>419</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8" t="s">
        <v>420</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406</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30">
      <c r="A33" s="455"/>
      <c r="B33" s="572" t="s">
        <v>70</v>
      </c>
      <c r="C33" s="572" t="s">
        <v>74</v>
      </c>
      <c r="D33" s="573" t="s">
        <v>49</v>
      </c>
      <c r="E33" s="538"/>
      <c r="F33" s="538"/>
      <c r="G33" s="538"/>
      <c r="I33" s="110">
        <f>+'[1]TB03-31-04(Final)'!G462</f>
        <v>4105799.4900000007</v>
      </c>
    </row>
    <row r="34" spans="1:7" ht="18" customHeight="1">
      <c r="A34" s="569" t="s">
        <v>422</v>
      </c>
      <c r="B34" s="552"/>
      <c r="C34" s="552"/>
      <c r="D34" s="553"/>
      <c r="E34" s="553"/>
      <c r="F34" s="553"/>
      <c r="G34" s="478"/>
    </row>
    <row r="35" spans="1:7" ht="14.25">
      <c r="A35" s="568" t="s">
        <v>418</v>
      </c>
      <c r="B35" s="472">
        <f>+'[1](1)IBNR Cal13'!C27</f>
        <v>929888.0153114785</v>
      </c>
      <c r="C35" s="126">
        <v>0</v>
      </c>
      <c r="D35" s="357">
        <f>SUM(B35:C35)</f>
        <v>929888.0153114785</v>
      </c>
      <c r="E35" s="357"/>
      <c r="F35" s="357"/>
      <c r="G35" s="113"/>
    </row>
    <row r="36" spans="1:7" ht="14.25">
      <c r="A36" s="568" t="s">
        <v>419</v>
      </c>
      <c r="B36" s="126">
        <f>+'[1](1)IBNR Cal13'!C28</f>
        <v>302248.25796003203</v>
      </c>
      <c r="C36" s="126">
        <v>0</v>
      </c>
      <c r="D36" s="122">
        <f>SUM(B36:C36)</f>
        <v>302248.25796003203</v>
      </c>
      <c r="E36" s="304"/>
      <c r="F36" s="304"/>
      <c r="G36" s="122"/>
    </row>
    <row r="37" spans="1:7" ht="14.25">
      <c r="A37" s="568" t="s">
        <v>420</v>
      </c>
      <c r="B37" s="126">
        <f>+'[1](1)IBNR Cal13'!C29</f>
        <v>4148.069670959347</v>
      </c>
      <c r="C37" s="126">
        <v>0</v>
      </c>
      <c r="D37" s="122">
        <f>SUM(B37:C37)</f>
        <v>4148.069670959347</v>
      </c>
      <c r="E37" s="304"/>
      <c r="F37" s="304"/>
      <c r="G37" s="122"/>
    </row>
    <row r="38" spans="1:7" ht="15.75" thickBot="1">
      <c r="A38" s="452" t="s">
        <v>406</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161</v>
      </c>
      <c r="E50" s="321" t="s">
        <v>161</v>
      </c>
      <c r="F50" s="321" t="s">
        <v>161</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16.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9" t="s">
        <v>278</v>
      </c>
      <c r="B1" s="459"/>
      <c r="C1" s="423"/>
      <c r="D1" s="460"/>
      <c r="E1" s="460"/>
      <c r="F1" s="461"/>
      <c r="G1" s="461"/>
      <c r="H1" s="461"/>
    </row>
    <row r="2" spans="1:9" ht="18.75">
      <c r="A2" s="425"/>
      <c r="B2" s="425"/>
      <c r="C2" s="450"/>
      <c r="D2" s="450"/>
      <c r="E2" s="450"/>
      <c r="F2" s="426"/>
      <c r="G2" s="414"/>
      <c r="H2" s="414"/>
      <c r="I2" s="18"/>
    </row>
    <row r="3" spans="1:9" ht="15">
      <c r="A3" s="462" t="s">
        <v>423</v>
      </c>
      <c r="B3" s="462"/>
      <c r="C3" s="428"/>
      <c r="D3" s="463"/>
      <c r="E3" s="463"/>
      <c r="F3" s="414"/>
      <c r="G3" s="414"/>
      <c r="H3" s="414"/>
      <c r="I3" s="18"/>
    </row>
    <row r="4" spans="1:9" ht="15">
      <c r="A4" s="462" t="s">
        <v>424</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45">
      <c r="A7" s="465"/>
      <c r="B7" s="373" t="s">
        <v>70</v>
      </c>
      <c r="C7" s="373" t="s">
        <v>74</v>
      </c>
      <c r="D7" s="466" t="s">
        <v>170</v>
      </c>
      <c r="E7" s="466" t="s">
        <v>240</v>
      </c>
      <c r="F7" s="466" t="s">
        <v>125</v>
      </c>
      <c r="G7" s="466" t="s">
        <v>260</v>
      </c>
      <c r="H7" s="467" t="s">
        <v>279</v>
      </c>
      <c r="I7" s="18"/>
    </row>
    <row r="8" spans="1:9" ht="30">
      <c r="A8" s="468" t="s">
        <v>425</v>
      </c>
      <c r="B8" s="372"/>
      <c r="C8" s="372"/>
      <c r="D8" s="380"/>
      <c r="E8" s="380"/>
      <c r="F8" s="380"/>
      <c r="G8" s="380"/>
      <c r="H8" s="469"/>
      <c r="I8" s="18"/>
    </row>
    <row r="9" spans="1:39" ht="14.25">
      <c r="A9" s="369" t="s">
        <v>403</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404</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405</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406</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1" t="s">
        <v>37</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403</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404</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405</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406</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1" t="s">
        <v>228</v>
      </c>
      <c r="B20" s="312" t="s">
        <v>277</v>
      </c>
      <c r="C20" s="312" t="s">
        <v>277</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403</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426</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405</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406</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1" t="s">
        <v>427</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403</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404</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405</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406</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17.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999" t="s">
        <v>278</v>
      </c>
      <c r="B1" s="999"/>
      <c r="C1" s="999"/>
      <c r="D1" s="999"/>
      <c r="E1" s="999"/>
      <c r="F1" s="338" t="s">
        <v>62</v>
      </c>
      <c r="G1" s="339" t="s">
        <v>218</v>
      </c>
      <c r="H1" s="149" t="s">
        <v>434</v>
      </c>
      <c r="I1" s="150" t="s">
        <v>62</v>
      </c>
      <c r="J1" s="150"/>
      <c r="K1" s="189" t="s">
        <v>273</v>
      </c>
      <c r="L1" s="231"/>
      <c r="M1" s="231"/>
      <c r="N1" s="231"/>
    </row>
    <row r="2" spans="1:11" ht="20.25">
      <c r="A2" s="997" t="s">
        <v>275</v>
      </c>
      <c r="B2" s="997"/>
      <c r="C2" s="997"/>
      <c r="D2" s="997"/>
      <c r="E2" s="997"/>
      <c r="F2" s="151"/>
      <c r="G2" s="79"/>
      <c r="H2" s="75" t="s">
        <v>435</v>
      </c>
      <c r="I2" s="152"/>
      <c r="K2" s="190"/>
    </row>
    <row r="3" spans="1:11" ht="20.25">
      <c r="A3" s="998">
        <v>37802</v>
      </c>
      <c r="B3" s="998"/>
      <c r="C3" s="998"/>
      <c r="D3" s="998"/>
      <c r="E3" s="998"/>
      <c r="F3" s="151"/>
      <c r="G3" s="153"/>
      <c r="H3" s="76"/>
      <c r="K3" s="190" t="s">
        <v>288</v>
      </c>
    </row>
    <row r="4" spans="1:11" ht="15.75">
      <c r="A4" s="2"/>
      <c r="B4" s="2" t="s">
        <v>215</v>
      </c>
      <c r="C4" s="2"/>
      <c r="D4" s="80"/>
      <c r="E4" s="80"/>
      <c r="F4" s="154" t="s">
        <v>436</v>
      </c>
      <c r="H4" s="76"/>
      <c r="K4" s="190"/>
    </row>
    <row r="5" spans="1:11" ht="15.75">
      <c r="A5" s="81"/>
      <c r="B5" s="82" t="s">
        <v>431</v>
      </c>
      <c r="C5" s="3" t="s">
        <v>432</v>
      </c>
      <c r="D5" s="83" t="s">
        <v>433</v>
      </c>
      <c r="E5" s="80"/>
      <c r="F5" s="155" t="s">
        <v>437</v>
      </c>
      <c r="G5" s="77" t="s">
        <v>438</v>
      </c>
      <c r="H5" s="75" t="s">
        <v>439</v>
      </c>
      <c r="I5" s="78" t="s">
        <v>440</v>
      </c>
      <c r="J5" s="75"/>
      <c r="K5" s="191" t="s">
        <v>441</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75</v>
      </c>
      <c r="H8" s="76" t="s">
        <v>81</v>
      </c>
      <c r="I8" s="76">
        <f>D9</f>
        <v>737754.17</v>
      </c>
      <c r="J8" s="84"/>
      <c r="K8" s="190"/>
      <c r="L8" s="230"/>
      <c r="M8" s="230"/>
      <c r="N8" s="230"/>
    </row>
    <row r="9" spans="1:14" ht="15.75">
      <c r="A9" s="87" t="s">
        <v>403</v>
      </c>
      <c r="B9" s="199">
        <f>-'[1](1)IBNR Cal13'!C21</f>
        <v>0</v>
      </c>
      <c r="C9" s="199">
        <v>-737754.17</v>
      </c>
      <c r="D9" s="199">
        <f>B9-C9</f>
        <v>737754.17</v>
      </c>
      <c r="E9" s="160"/>
      <c r="F9" s="161"/>
      <c r="G9" s="76" t="s">
        <v>76</v>
      </c>
      <c r="H9" s="76" t="s">
        <v>82</v>
      </c>
      <c r="I9" s="76">
        <f>D10</f>
        <v>272517.95</v>
      </c>
      <c r="J9" s="84"/>
      <c r="K9" s="190"/>
      <c r="L9" s="230"/>
      <c r="M9" s="230"/>
      <c r="N9" s="230"/>
    </row>
    <row r="10" spans="1:14" ht="15.75">
      <c r="A10" s="87" t="s">
        <v>426</v>
      </c>
      <c r="B10" s="199">
        <f>-'[1](1)IBNR Cal13'!C22</f>
        <v>0</v>
      </c>
      <c r="C10" s="199">
        <v>-272517.95</v>
      </c>
      <c r="D10" s="199">
        <f>B10-C10</f>
        <v>272517.95</v>
      </c>
      <c r="E10" s="160"/>
      <c r="F10" s="161"/>
      <c r="G10" s="76" t="s">
        <v>77</v>
      </c>
      <c r="H10" s="76" t="s">
        <v>83</v>
      </c>
      <c r="I10" s="76">
        <f>D11</f>
        <v>4757.34</v>
      </c>
      <c r="J10" s="84"/>
      <c r="K10" s="190"/>
      <c r="L10" s="230"/>
      <c r="M10" s="230"/>
      <c r="N10" s="230"/>
    </row>
    <row r="11" spans="1:14" ht="15.75">
      <c r="A11" s="87" t="s">
        <v>405</v>
      </c>
      <c r="B11" s="293">
        <f>-'[1](1)IBNR Cal13'!C23</f>
        <v>0</v>
      </c>
      <c r="C11" s="199">
        <v>-4757.34</v>
      </c>
      <c r="D11" s="199">
        <f>B11-C11</f>
        <v>4757.34</v>
      </c>
      <c r="E11" s="160"/>
      <c r="F11" s="161"/>
      <c r="G11" s="76" t="s">
        <v>78</v>
      </c>
      <c r="H11" s="76" t="s">
        <v>84</v>
      </c>
      <c r="J11" s="84"/>
      <c r="K11" s="190">
        <f>I8</f>
        <v>737754.17</v>
      </c>
      <c r="L11" s="230"/>
      <c r="M11" s="230"/>
      <c r="N11" s="230"/>
    </row>
    <row r="12" spans="1:14" ht="15.75">
      <c r="A12" s="87"/>
      <c r="B12" s="199"/>
      <c r="C12" s="200"/>
      <c r="D12" s="199"/>
      <c r="E12" s="160"/>
      <c r="F12" s="161"/>
      <c r="G12" s="76" t="s">
        <v>79</v>
      </c>
      <c r="H12" s="76" t="s">
        <v>85</v>
      </c>
      <c r="J12" s="84"/>
      <c r="K12" s="190">
        <f>I9</f>
        <v>272517.95</v>
      </c>
      <c r="L12" s="230"/>
      <c r="M12" s="230"/>
      <c r="N12" s="230"/>
    </row>
    <row r="13" spans="1:14" ht="15.75">
      <c r="A13" s="87" t="s">
        <v>89</v>
      </c>
      <c r="B13" s="201">
        <f>SUM(B9:B12)</f>
        <v>0</v>
      </c>
      <c r="C13" s="201">
        <f>SUM(C9:C12)</f>
        <v>-1015029.4600000001</v>
      </c>
      <c r="D13" s="201">
        <f>SUM(D9:D12)</f>
        <v>1015029.4600000001</v>
      </c>
      <c r="E13" s="160"/>
      <c r="F13" s="161"/>
      <c r="G13" s="76" t="s">
        <v>80</v>
      </c>
      <c r="H13" s="76" t="s">
        <v>86</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64</v>
      </c>
      <c r="H15" s="76" t="s">
        <v>265</v>
      </c>
      <c r="J15" s="84"/>
      <c r="K15" s="190">
        <f>-D16</f>
        <v>664860.7953114785</v>
      </c>
      <c r="L15" s="230"/>
      <c r="M15" s="230"/>
      <c r="N15" s="230"/>
    </row>
    <row r="16" spans="1:14" ht="15.75">
      <c r="A16" s="87" t="s">
        <v>403</v>
      </c>
      <c r="B16" s="199">
        <f>-'[1](1)IBNR Cal13'!C27</f>
        <v>-929888.0153114785</v>
      </c>
      <c r="C16" s="199">
        <v>-265027.22</v>
      </c>
      <c r="D16" s="199">
        <f>B16-C16</f>
        <v>-664860.7953114785</v>
      </c>
      <c r="E16" s="160"/>
      <c r="F16" s="161"/>
      <c r="G16" s="76" t="s">
        <v>65</v>
      </c>
      <c r="H16" s="76" t="s">
        <v>266</v>
      </c>
      <c r="J16" s="84"/>
      <c r="K16" s="190">
        <f>-D17</f>
        <v>216633.17796003202</v>
      </c>
      <c r="L16" s="230"/>
      <c r="M16" s="230"/>
      <c r="N16" s="230"/>
    </row>
    <row r="17" spans="1:14" ht="15.75">
      <c r="A17" s="87" t="s">
        <v>426</v>
      </c>
      <c r="B17" s="199">
        <f>-'[1](1)IBNR Cal13'!C28</f>
        <v>-302248.25796003203</v>
      </c>
      <c r="C17" s="199">
        <v>-85615.08</v>
      </c>
      <c r="D17" s="199">
        <f>B17-C17</f>
        <v>-216633.17796003202</v>
      </c>
      <c r="E17" s="160"/>
      <c r="F17" s="161"/>
      <c r="G17" s="76" t="s">
        <v>66</v>
      </c>
      <c r="H17" s="76" t="s">
        <v>267</v>
      </c>
      <c r="J17" s="84"/>
      <c r="K17" s="190">
        <f>-D18</f>
        <v>2832.0896709593467</v>
      </c>
      <c r="L17" s="230"/>
      <c r="M17" s="230"/>
      <c r="N17" s="230"/>
    </row>
    <row r="18" spans="1:14" ht="15.75">
      <c r="A18" s="87" t="s">
        <v>405</v>
      </c>
      <c r="B18" s="199">
        <f>-'[1](1)IBNR Cal13'!C29</f>
        <v>-4148.069670959347</v>
      </c>
      <c r="C18" s="199">
        <v>-1315.98</v>
      </c>
      <c r="D18" s="199">
        <f>B18-C18</f>
        <v>-2832.0896709593467</v>
      </c>
      <c r="E18" s="160"/>
      <c r="F18" s="161"/>
      <c r="G18" s="76" t="s">
        <v>67</v>
      </c>
      <c r="H18" s="76" t="s">
        <v>268</v>
      </c>
      <c r="I18" s="76">
        <f>K15</f>
        <v>664860.7953114785</v>
      </c>
      <c r="J18" s="84"/>
      <c r="K18" s="190"/>
      <c r="L18" s="230"/>
      <c r="M18" s="230"/>
      <c r="N18" s="230"/>
    </row>
    <row r="19" spans="1:14" ht="15.75">
      <c r="A19" s="89"/>
      <c r="B19" s="199"/>
      <c r="C19" s="200"/>
      <c r="D19" s="199"/>
      <c r="E19" s="160"/>
      <c r="F19" s="161"/>
      <c r="G19" s="76" t="s">
        <v>68</v>
      </c>
      <c r="H19" s="76" t="s">
        <v>269</v>
      </c>
      <c r="I19" s="76">
        <f>K16</f>
        <v>216633.17796003202</v>
      </c>
      <c r="J19" s="84"/>
      <c r="K19" s="190"/>
      <c r="L19" s="230"/>
      <c r="M19" s="230"/>
      <c r="N19" s="230"/>
    </row>
    <row r="20" spans="1:14" ht="15.75">
      <c r="A20" s="87" t="s">
        <v>89</v>
      </c>
      <c r="B20" s="201">
        <f>SUM(B16:B19)</f>
        <v>-1236284.34294247</v>
      </c>
      <c r="C20" s="201">
        <f>SUM(C16:C19)</f>
        <v>-351958.27999999997</v>
      </c>
      <c r="D20" s="201">
        <f>SUM(D16:D19)</f>
        <v>-884326.06294247</v>
      </c>
      <c r="E20" s="160"/>
      <c r="F20" s="161"/>
      <c r="G20" s="76" t="s">
        <v>69</v>
      </c>
      <c r="H20" s="76" t="s">
        <v>270</v>
      </c>
      <c r="I20" s="366">
        <f>K17</f>
        <v>2832.0896709593467</v>
      </c>
      <c r="J20" s="84"/>
      <c r="K20" s="190"/>
      <c r="L20" s="80"/>
      <c r="M20" s="80"/>
      <c r="N20" s="80"/>
    </row>
    <row r="21" spans="1:11" ht="16.5" thickBot="1">
      <c r="A21" s="89"/>
      <c r="B21" s="160"/>
      <c r="C21" s="162"/>
      <c r="D21" s="160"/>
      <c r="E21" s="87"/>
      <c r="F21" s="66" t="s">
        <v>442</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276</v>
      </c>
      <c r="B23" s="270">
        <f>B13+B20</f>
        <v>-1236284.34294247</v>
      </c>
      <c r="C23" s="270">
        <f>C13+C20</f>
        <v>-1366987.74</v>
      </c>
      <c r="D23" s="270">
        <f>D13+D20</f>
        <v>130703.39705753012</v>
      </c>
      <c r="E23" s="165"/>
      <c r="F23" s="66" t="s">
        <v>443</v>
      </c>
      <c r="G23" s="67" t="s">
        <v>271</v>
      </c>
      <c r="H23" s="10"/>
      <c r="I23" s="169"/>
      <c r="J23" s="169"/>
      <c r="K23" s="195"/>
    </row>
    <row r="24" spans="1:11" ht="16.5" thickTop="1">
      <c r="A24" s="87"/>
      <c r="B24" s="87" t="s">
        <v>258</v>
      </c>
      <c r="C24" s="367" t="s">
        <v>132</v>
      </c>
      <c r="D24" s="87"/>
      <c r="E24" s="90"/>
      <c r="F24" s="66" t="s">
        <v>274</v>
      </c>
      <c r="G24" s="67" t="s">
        <v>272</v>
      </c>
      <c r="H24" s="67"/>
      <c r="I24" s="169"/>
      <c r="J24" s="169"/>
      <c r="K24" s="195" t="s">
        <v>288</v>
      </c>
    </row>
    <row r="25" spans="1:11" ht="15.75">
      <c r="A25" s="2"/>
      <c r="B25" s="368" t="s">
        <v>122</v>
      </c>
      <c r="C25" s="368" t="s">
        <v>123</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437</v>
      </c>
      <c r="J29" s="196"/>
      <c r="K29" s="195"/>
    </row>
    <row r="30" spans="1:11" ht="15.75">
      <c r="A30" s="2"/>
      <c r="B30" s="90"/>
      <c r="C30" s="90"/>
      <c r="D30" s="90"/>
      <c r="E30" s="90"/>
      <c r="F30" s="66" t="s">
        <v>444</v>
      </c>
      <c r="G30" s="67" t="s">
        <v>92</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90</v>
      </c>
      <c r="G33" s="67" t="s">
        <v>479</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445</v>
      </c>
      <c r="G36" s="67" t="s">
        <v>91</v>
      </c>
      <c r="H36" s="67"/>
      <c r="I36" s="196"/>
      <c r="J36" s="196"/>
      <c r="K36" s="195"/>
    </row>
    <row r="37" spans="1:11" ht="15.75">
      <c r="A37" s="2"/>
      <c r="B37" s="2"/>
      <c r="C37" s="2"/>
      <c r="D37" s="2"/>
      <c r="E37" s="2"/>
      <c r="F37" s="161"/>
      <c r="H37" s="67"/>
      <c r="I37" s="196"/>
      <c r="J37" s="196" t="s">
        <v>448</v>
      </c>
      <c r="K37" s="353"/>
    </row>
    <row r="38" spans="1:11" ht="16.5" thickBot="1">
      <c r="A38" s="2"/>
      <c r="B38" s="2"/>
      <c r="C38" s="2"/>
      <c r="D38" s="2"/>
      <c r="E38" s="2"/>
      <c r="F38" s="73"/>
      <c r="G38" s="72"/>
      <c r="H38" s="72"/>
      <c r="I38" s="196"/>
      <c r="J38" s="196"/>
      <c r="K38" s="195"/>
    </row>
    <row r="39" spans="1:14" ht="16.5" thickBot="1">
      <c r="A39" s="2"/>
      <c r="B39" s="2"/>
      <c r="C39" s="2"/>
      <c r="D39" s="2"/>
      <c r="E39" s="2"/>
      <c r="F39" s="294" t="s">
        <v>447</v>
      </c>
      <c r="G39" s="72" t="s">
        <v>257</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18.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38" t="s">
        <v>278</v>
      </c>
      <c r="B1" s="938"/>
      <c r="C1" s="938"/>
      <c r="D1" s="938"/>
      <c r="E1" s="938"/>
      <c r="F1" s="938"/>
      <c r="G1" s="938"/>
      <c r="H1" s="1001" t="s">
        <v>434</v>
      </c>
      <c r="I1" s="1002"/>
      <c r="J1" s="1002"/>
      <c r="K1" s="1002"/>
      <c r="L1" s="1002"/>
      <c r="M1" s="1003"/>
      <c r="O1" s="224"/>
    </row>
    <row r="2" spans="1:15" s="18" customFormat="1" ht="18.75">
      <c r="A2" s="1006"/>
      <c r="B2" s="1006"/>
      <c r="C2" s="1006"/>
      <c r="D2" s="1006"/>
      <c r="E2" s="1006"/>
      <c r="F2" s="1006"/>
      <c r="G2" s="1006"/>
      <c r="H2" s="1004" t="s">
        <v>435</v>
      </c>
      <c r="I2" s="1000"/>
      <c r="J2" s="1000"/>
      <c r="K2" s="1000"/>
      <c r="L2" s="1000"/>
      <c r="M2" s="1005"/>
      <c r="O2" s="225"/>
    </row>
    <row r="3" spans="1:13" ht="12.75">
      <c r="A3" s="51"/>
      <c r="B3" s="52"/>
      <c r="C3" s="52"/>
      <c r="D3" s="205"/>
      <c r="E3" s="52"/>
      <c r="F3" s="52"/>
      <c r="G3" s="52"/>
      <c r="H3" s="66" t="s">
        <v>43</v>
      </c>
      <c r="I3" s="10" t="s">
        <v>482</v>
      </c>
      <c r="J3" s="10"/>
      <c r="K3" s="265"/>
      <c r="L3" s="179" t="s">
        <v>480</v>
      </c>
      <c r="M3" s="178" t="s">
        <v>484</v>
      </c>
    </row>
    <row r="4" spans="1:15" s="54" customFormat="1" ht="15.75">
      <c r="A4" s="1000" t="s">
        <v>216</v>
      </c>
      <c r="B4" s="1000"/>
      <c r="C4" s="1000"/>
      <c r="D4" s="1000"/>
      <c r="E4" s="1000"/>
      <c r="F4" s="1000"/>
      <c r="G4" s="1000"/>
      <c r="H4" s="66" t="s">
        <v>436</v>
      </c>
      <c r="I4" s="67"/>
      <c r="J4" s="67"/>
      <c r="K4" s="266"/>
      <c r="L4" s="179"/>
      <c r="M4" s="180"/>
      <c r="O4" s="226"/>
    </row>
    <row r="5" spans="1:16" s="54" customFormat="1" ht="15.75">
      <c r="A5" s="1000" t="s">
        <v>40</v>
      </c>
      <c r="B5" s="1000"/>
      <c r="C5" s="1000"/>
      <c r="D5" s="1000"/>
      <c r="E5" s="1000"/>
      <c r="F5" s="1000"/>
      <c r="G5" s="1000"/>
      <c r="H5" s="66" t="s">
        <v>437</v>
      </c>
      <c r="I5" s="67" t="s">
        <v>438</v>
      </c>
      <c r="J5" s="67" t="s">
        <v>439</v>
      </c>
      <c r="K5" s="266" t="s">
        <v>440</v>
      </c>
      <c r="L5" s="177"/>
      <c r="M5" s="180" t="s">
        <v>441</v>
      </c>
      <c r="O5" s="226"/>
      <c r="P5" s="226"/>
    </row>
    <row r="6" spans="1:16" ht="12.75">
      <c r="A6" s="55"/>
      <c r="B6" s="55"/>
      <c r="C6" s="55"/>
      <c r="D6" s="206"/>
      <c r="E6" s="55"/>
      <c r="F6" s="55"/>
      <c r="G6" s="55"/>
      <c r="H6" s="68"/>
      <c r="I6" s="69"/>
      <c r="J6" s="69"/>
      <c r="K6" s="267"/>
      <c r="L6" s="181"/>
      <c r="M6" s="182"/>
      <c r="O6" s="69"/>
      <c r="P6" s="69"/>
    </row>
    <row r="7" spans="1:16" ht="38.25">
      <c r="A7" s="56"/>
      <c r="B7" s="57" t="s">
        <v>467</v>
      </c>
      <c r="C7" s="57" t="s">
        <v>468</v>
      </c>
      <c r="D7" s="207" t="s">
        <v>469</v>
      </c>
      <c r="E7" s="57"/>
      <c r="F7" s="57" t="s">
        <v>226</v>
      </c>
      <c r="G7" s="57" t="s">
        <v>470</v>
      </c>
      <c r="H7" s="70">
        <v>37621</v>
      </c>
      <c r="I7" s="10" t="s">
        <v>475</v>
      </c>
      <c r="J7" s="10" t="s">
        <v>246</v>
      </c>
      <c r="K7" s="265">
        <f>+F23</f>
        <v>2206.52</v>
      </c>
      <c r="L7" s="181"/>
      <c r="M7" s="178"/>
      <c r="P7" s="223"/>
    </row>
    <row r="8" spans="1:13" ht="12.75" hidden="1">
      <c r="A8" s="10"/>
      <c r="B8" s="10"/>
      <c r="C8" s="10"/>
      <c r="D8" s="208"/>
      <c r="E8" s="58"/>
      <c r="F8" s="58"/>
      <c r="G8" s="58"/>
      <c r="H8" s="65"/>
      <c r="I8" s="10" t="s">
        <v>254</v>
      </c>
      <c r="J8" s="10" t="s">
        <v>246</v>
      </c>
      <c r="K8" s="265">
        <f>+F29</f>
        <v>55.86</v>
      </c>
      <c r="L8" s="181"/>
      <c r="M8" s="178"/>
    </row>
    <row r="9" spans="1:16" ht="12.75" hidden="1">
      <c r="A9" s="10"/>
      <c r="B9" s="64"/>
      <c r="C9" s="64"/>
      <c r="D9" s="208"/>
      <c r="E9" s="58"/>
      <c r="F9" s="58"/>
      <c r="G9" s="58"/>
      <c r="H9" s="65"/>
      <c r="I9" s="10" t="s">
        <v>248</v>
      </c>
      <c r="J9" s="10" t="s">
        <v>246</v>
      </c>
      <c r="K9" s="265">
        <f>+F35</f>
        <v>51079.75</v>
      </c>
      <c r="L9" s="181"/>
      <c r="M9" s="178"/>
      <c r="P9" s="223"/>
    </row>
    <row r="10" spans="1:13" ht="12.75" hidden="1">
      <c r="A10" s="59"/>
      <c r="B10" s="63"/>
      <c r="C10" s="63"/>
      <c r="D10" s="219"/>
      <c r="E10" s="60"/>
      <c r="F10" s="60"/>
      <c r="G10" s="60"/>
      <c r="H10" s="65"/>
      <c r="I10" s="10" t="s">
        <v>31</v>
      </c>
      <c r="J10" s="10" t="s">
        <v>246</v>
      </c>
      <c r="K10" s="265">
        <f>+F41</f>
        <v>60568.8</v>
      </c>
      <c r="L10" s="181"/>
      <c r="M10" s="178"/>
    </row>
    <row r="11" spans="1:16" ht="12.75" hidden="1">
      <c r="A11" s="10"/>
      <c r="B11" s="212"/>
      <c r="C11" s="271"/>
      <c r="D11" s="208"/>
      <c r="E11" s="204"/>
      <c r="F11" s="282"/>
      <c r="G11" s="212"/>
      <c r="H11" s="65"/>
      <c r="I11" s="10" t="s">
        <v>255</v>
      </c>
      <c r="J11" s="10" t="s">
        <v>247</v>
      </c>
      <c r="K11" s="265">
        <f>+F30</f>
        <v>0</v>
      </c>
      <c r="L11" s="181"/>
      <c r="M11" s="178"/>
      <c r="P11" s="223"/>
    </row>
    <row r="12" spans="1:16" ht="12.75" hidden="1">
      <c r="A12" s="10"/>
      <c r="B12" s="212"/>
      <c r="C12" s="271"/>
      <c r="D12" s="208"/>
      <c r="E12" s="204"/>
      <c r="F12" s="284"/>
      <c r="G12" s="212"/>
      <c r="H12" s="65"/>
      <c r="I12" s="10" t="s">
        <v>60</v>
      </c>
      <c r="J12" s="10" t="s">
        <v>247</v>
      </c>
      <c r="K12" s="265">
        <f>+F36</f>
        <v>2606.21</v>
      </c>
      <c r="L12" s="181"/>
      <c r="M12" s="178"/>
      <c r="P12" s="223"/>
    </row>
    <row r="13" spans="1:13" ht="12.75" hidden="1">
      <c r="A13" s="10"/>
      <c r="B13" s="212"/>
      <c r="C13" s="272"/>
      <c r="D13" s="208"/>
      <c r="E13" s="204"/>
      <c r="F13" s="284"/>
      <c r="G13" s="212"/>
      <c r="H13" s="65"/>
      <c r="I13" s="10" t="s">
        <v>32</v>
      </c>
      <c r="J13" s="10" t="s">
        <v>247</v>
      </c>
      <c r="K13" s="265">
        <f>+F42</f>
        <v>23392.86</v>
      </c>
      <c r="L13" s="181"/>
      <c r="M13" s="178"/>
    </row>
    <row r="14" spans="2:16" ht="12.75" hidden="1">
      <c r="B14" s="174"/>
      <c r="C14" s="273"/>
      <c r="D14" s="208"/>
      <c r="E14" s="214"/>
      <c r="F14" s="283"/>
      <c r="G14" s="214"/>
      <c r="H14" s="65"/>
      <c r="I14" s="10" t="s">
        <v>249</v>
      </c>
      <c r="J14" s="10" t="s">
        <v>222</v>
      </c>
      <c r="K14" s="265">
        <f>+F37</f>
        <v>0</v>
      </c>
      <c r="L14" s="234"/>
      <c r="M14" s="235"/>
      <c r="P14" s="223"/>
    </row>
    <row r="15" spans="2:13" ht="12.75">
      <c r="B15" s="175"/>
      <c r="C15" s="274"/>
      <c r="D15" s="219"/>
      <c r="E15" s="204"/>
      <c r="F15" s="277"/>
      <c r="G15" s="204"/>
      <c r="H15" s="65"/>
      <c r="I15" s="10"/>
      <c r="J15" s="10"/>
      <c r="K15" s="265"/>
      <c r="L15" s="181"/>
      <c r="M15" s="178"/>
    </row>
    <row r="16" spans="1:13" ht="12.75">
      <c r="A16" s="59" t="s">
        <v>264</v>
      </c>
      <c r="B16" s="175"/>
      <c r="C16" s="175"/>
      <c r="D16" s="219"/>
      <c r="E16" s="204"/>
      <c r="F16" s="277"/>
      <c r="G16" s="204"/>
      <c r="H16" s="65"/>
      <c r="I16" s="10"/>
      <c r="J16" s="10"/>
      <c r="K16" s="265"/>
      <c r="L16" s="181"/>
      <c r="M16" s="178"/>
    </row>
    <row r="17" spans="1:13" ht="12.75">
      <c r="A17" s="10" t="s">
        <v>471</v>
      </c>
      <c r="B17" s="212">
        <f>+'[1]TB3-31-04 (Pre)'!G469</f>
        <v>0</v>
      </c>
      <c r="C17" s="212">
        <f>SUM('[1]TB03-31-04(Final)'!F361:F364)</f>
        <v>0</v>
      </c>
      <c r="D17" s="751" t="e">
        <f>C17/C20</f>
        <v>#DIV/0!</v>
      </c>
      <c r="E17" s="204"/>
      <c r="F17" s="275" t="e">
        <f>SUM('[1]TB03-31-04(Final)'!F523:F524)</f>
        <v>#REF!</v>
      </c>
      <c r="G17" s="212" t="e">
        <f>+B17+F17</f>
        <v>#REF!</v>
      </c>
      <c r="H17" s="237" t="s">
        <v>41</v>
      </c>
      <c r="I17" s="10" t="s">
        <v>477</v>
      </c>
      <c r="J17" s="10" t="s">
        <v>478</v>
      </c>
      <c r="K17" s="265"/>
      <c r="L17" s="177"/>
      <c r="M17" s="178">
        <f>SUM(K7:K17)+0.01</f>
        <v>139910.01</v>
      </c>
    </row>
    <row r="18" spans="1:16" ht="12.75">
      <c r="A18" s="10" t="s">
        <v>472</v>
      </c>
      <c r="B18" s="212" t="e">
        <f>+'[1]TB03-31-04(Final)'!F469+'[1]TB03-31-04(Final)'!F470</f>
        <v>#REF!</v>
      </c>
      <c r="C18" s="212">
        <f>SUM('[1]TB03-31-04(Final)'!F370:F372)</f>
        <v>0</v>
      </c>
      <c r="D18" s="751" t="e">
        <f>C18/C20</f>
        <v>#DIV/0!</v>
      </c>
      <c r="E18" s="204"/>
      <c r="F18" s="275" t="e">
        <f>SUM('[1]TB03-31-04(Final)'!F530:F531)</f>
        <v>#REF!</v>
      </c>
      <c r="G18" s="212" t="e">
        <f>+B18+F18</f>
        <v>#REF!</v>
      </c>
      <c r="H18" s="237" t="s">
        <v>42</v>
      </c>
      <c r="I18" s="10"/>
      <c r="J18" s="10"/>
      <c r="K18" s="265"/>
      <c r="L18" s="177"/>
      <c r="M18" s="178"/>
      <c r="P18" s="223"/>
    </row>
    <row r="19" spans="1:13" ht="12.75">
      <c r="A19" s="10" t="s">
        <v>417</v>
      </c>
      <c r="B19" s="212">
        <v>0</v>
      </c>
      <c r="C19" s="213">
        <v>0</v>
      </c>
      <c r="D19" s="751" t="e">
        <f>C19/C20</f>
        <v>#DIV/0!</v>
      </c>
      <c r="E19" s="204"/>
      <c r="F19" s="275">
        <v>0</v>
      </c>
      <c r="G19" s="212">
        <v>0</v>
      </c>
      <c r="H19" s="65"/>
      <c r="I19" s="10"/>
      <c r="J19" s="10"/>
      <c r="K19" s="265"/>
      <c r="L19" s="177"/>
      <c r="M19" s="178"/>
    </row>
    <row r="20" spans="1:17" ht="13.5" thickBot="1">
      <c r="A20" s="8" t="s">
        <v>430</v>
      </c>
      <c r="B20" s="174" t="e">
        <f>SUM(B17:B19)</f>
        <v>#REF!</v>
      </c>
      <c r="C20" s="174">
        <f>SUM(C17:C19)</f>
        <v>0</v>
      </c>
      <c r="D20" s="749">
        <f>C20/$C$49</f>
        <v>0</v>
      </c>
      <c r="E20" s="214"/>
      <c r="F20" s="276" t="e">
        <f>SUM(F17:F19)</f>
        <v>#REF!</v>
      </c>
      <c r="G20" s="214" t="e">
        <f>SUM(G17:G19)</f>
        <v>#REF!</v>
      </c>
      <c r="H20" s="66" t="s">
        <v>442</v>
      </c>
      <c r="I20" s="10"/>
      <c r="J20" s="10"/>
      <c r="K20" s="280">
        <f>SUM(K7:K14)+0.01</f>
        <v>139910.01</v>
      </c>
      <c r="L20" s="183"/>
      <c r="M20" s="184">
        <f>SUM(M7:M19)</f>
        <v>139910.01</v>
      </c>
      <c r="N20" s="236"/>
      <c r="O20" s="233"/>
      <c r="P20" s="236"/>
      <c r="Q20" s="236">
        <f>SUM(P7:P18)</f>
        <v>0</v>
      </c>
    </row>
    <row r="21" spans="2:13" ht="13.5" thickTop="1">
      <c r="B21" s="175"/>
      <c r="C21" s="175"/>
      <c r="D21" s="752"/>
      <c r="E21" s="204"/>
      <c r="F21" s="277"/>
      <c r="G21" s="204"/>
      <c r="H21" s="65"/>
      <c r="I21" s="10"/>
      <c r="J21" s="10"/>
      <c r="K21" s="265"/>
      <c r="L21" s="177"/>
      <c r="M21" s="279">
        <f>+F53</f>
        <v>495387.39</v>
      </c>
    </row>
    <row r="22" spans="1:13" ht="12.75">
      <c r="A22" s="59">
        <v>2000</v>
      </c>
      <c r="B22" s="175"/>
      <c r="C22" s="175"/>
      <c r="D22" s="752"/>
      <c r="E22" s="204"/>
      <c r="F22" s="277"/>
      <c r="G22" s="204"/>
      <c r="H22" s="65"/>
      <c r="I22" s="10"/>
      <c r="J22" s="10"/>
      <c r="K22" s="265"/>
      <c r="L22" s="177"/>
      <c r="M22" s="178"/>
    </row>
    <row r="23" spans="1:15" ht="12.75">
      <c r="A23" s="10" t="s">
        <v>471</v>
      </c>
      <c r="B23" s="175">
        <f>+'[1]TB3-31-04 (Pre)'!F470</f>
        <v>980.5</v>
      </c>
      <c r="C23" s="212">
        <f>+'[1]TB3-31-04 (Pre)'!F362</f>
        <v>59250</v>
      </c>
      <c r="D23" s="749">
        <f>C23/C26</f>
        <v>1</v>
      </c>
      <c r="E23" s="204"/>
      <c r="F23" s="275">
        <f>+'[1]TB3-31-04 (Pre)'!F517</f>
        <v>2206.52</v>
      </c>
      <c r="G23" s="212">
        <f>B23+F23</f>
        <v>3187.02</v>
      </c>
      <c r="H23" s="66" t="s">
        <v>443</v>
      </c>
      <c r="I23" s="67" t="s">
        <v>223</v>
      </c>
      <c r="J23" s="67"/>
      <c r="K23" s="265"/>
      <c r="L23" s="177"/>
      <c r="M23" s="178" t="s">
        <v>288</v>
      </c>
      <c r="O23" s="53"/>
    </row>
    <row r="24" spans="1:16" ht="12.75">
      <c r="A24" s="10" t="s">
        <v>472</v>
      </c>
      <c r="B24" s="212">
        <f>+'[1]TB03-31-04(Final)'!F471</f>
        <v>0</v>
      </c>
      <c r="C24" s="212">
        <f>+'[1]TB3-31-04 (Pre)'!F370</f>
        <v>0</v>
      </c>
      <c r="D24" s="749">
        <f>C24/C26</f>
        <v>0</v>
      </c>
      <c r="E24" s="204"/>
      <c r="F24" s="275">
        <f>+'[1]TB03-31-04(Final)'!F532</f>
        <v>0</v>
      </c>
      <c r="G24" s="212">
        <f>B24+F24</f>
        <v>0</v>
      </c>
      <c r="H24" s="66" t="s">
        <v>481</v>
      </c>
      <c r="I24" s="67" t="s">
        <v>483</v>
      </c>
      <c r="J24" s="67"/>
      <c r="K24" s="265"/>
      <c r="L24" s="177"/>
      <c r="M24" s="178"/>
      <c r="O24" s="228"/>
      <c r="P24" s="229"/>
    </row>
    <row r="25" spans="1:16" ht="12.75">
      <c r="A25" s="10" t="s">
        <v>417</v>
      </c>
      <c r="B25" s="212">
        <f>+'[1]TB03-31-04(Final)'!D486</f>
        <v>-374.81</v>
      </c>
      <c r="C25" s="212">
        <v>0</v>
      </c>
      <c r="D25" s="749">
        <f>C25/C26</f>
        <v>0</v>
      </c>
      <c r="E25" s="204"/>
      <c r="F25" s="275">
        <v>0</v>
      </c>
      <c r="G25" s="212">
        <f>F25+B25</f>
        <v>-374.81</v>
      </c>
      <c r="H25" s="65"/>
      <c r="I25" s="71"/>
      <c r="J25" s="10"/>
      <c r="K25" s="265"/>
      <c r="L25" s="177"/>
      <c r="M25" s="178"/>
      <c r="O25" s="228"/>
      <c r="P25" s="229"/>
    </row>
    <row r="26" spans="1:15" ht="13.5" thickBot="1">
      <c r="A26" s="8" t="s">
        <v>430</v>
      </c>
      <c r="B26" s="174">
        <f>SUM(B23:B25)</f>
        <v>605.69</v>
      </c>
      <c r="C26" s="174">
        <f>SUM(C23:C25)</f>
        <v>59250</v>
      </c>
      <c r="D26" s="749">
        <f>C26/$C$49</f>
        <v>0.015765811858006993</v>
      </c>
      <c r="E26" s="214"/>
      <c r="F26" s="276">
        <f>SUM(F23:F25)</f>
        <v>2206.52</v>
      </c>
      <c r="G26" s="214">
        <f>SUM(G23:G25)</f>
        <v>2812.21</v>
      </c>
      <c r="H26" s="66" t="s">
        <v>444</v>
      </c>
      <c r="I26" s="72"/>
      <c r="J26" s="72"/>
      <c r="K26" s="265"/>
      <c r="L26" s="177"/>
      <c r="M26" s="178"/>
      <c r="O26" s="53"/>
    </row>
    <row r="27" spans="2:13" ht="12.75">
      <c r="B27" s="175"/>
      <c r="C27" s="175"/>
      <c r="D27" s="752"/>
      <c r="E27" s="204"/>
      <c r="F27" s="277"/>
      <c r="G27" s="204"/>
      <c r="H27" s="66"/>
      <c r="I27" s="67" t="s">
        <v>220</v>
      </c>
      <c r="J27" s="67"/>
      <c r="K27" s="265"/>
      <c r="L27" s="177"/>
      <c r="M27" s="178"/>
    </row>
    <row r="28" spans="1:13" ht="12.75">
      <c r="A28" s="59">
        <v>2001</v>
      </c>
      <c r="B28" s="175"/>
      <c r="C28" s="175"/>
      <c r="D28" s="752"/>
      <c r="E28" s="204"/>
      <c r="F28" s="277"/>
      <c r="G28" s="204"/>
      <c r="H28" s="66"/>
      <c r="I28" s="67"/>
      <c r="J28" s="67"/>
      <c r="K28" s="265"/>
      <c r="L28" s="177"/>
      <c r="M28" s="178"/>
    </row>
    <row r="29" spans="1:13" ht="13.5" thickBot="1">
      <c r="A29" s="10" t="s">
        <v>471</v>
      </c>
      <c r="B29" s="175">
        <f>+'[1]TB3-31-04 (Pre)'!F471</f>
        <v>728.14</v>
      </c>
      <c r="C29" s="212">
        <f>+'[1]TB3-31-04 (Pre)'!F363</f>
        <v>1500</v>
      </c>
      <c r="D29" s="749">
        <f>C29/C32</f>
        <v>1</v>
      </c>
      <c r="E29" s="204"/>
      <c r="F29" s="275">
        <f>+'[1]TB3-31-04 (Pre)'!F518</f>
        <v>55.86</v>
      </c>
      <c r="G29" s="212">
        <f>B29+F29</f>
        <v>784</v>
      </c>
      <c r="H29" s="66" t="s">
        <v>90</v>
      </c>
      <c r="I29" s="72"/>
      <c r="J29" s="72"/>
      <c r="K29" s="266" t="s">
        <v>437</v>
      </c>
      <c r="L29" s="179"/>
      <c r="M29" s="178"/>
    </row>
    <row r="30" spans="1:13" ht="12.75">
      <c r="A30" s="10" t="s">
        <v>472</v>
      </c>
      <c r="B30" s="212">
        <f>+'[1]TB3-31-04 (Pre)'!F478</f>
        <v>254</v>
      </c>
      <c r="C30" s="212">
        <f>+'[1]TB3-31-04 (Pre)'!F371</f>
        <v>0</v>
      </c>
      <c r="D30" s="749">
        <f>C30/C32</f>
        <v>0</v>
      </c>
      <c r="E30" s="204"/>
      <c r="F30" s="275">
        <f>+'[1]TB3-31-04 (Pre)'!F525</f>
        <v>0</v>
      </c>
      <c r="G30" s="212">
        <f>B30+F30</f>
        <v>254</v>
      </c>
      <c r="H30" s="66"/>
      <c r="I30" s="67" t="s">
        <v>479</v>
      </c>
      <c r="J30" s="67"/>
      <c r="K30" s="266"/>
      <c r="L30" s="179"/>
      <c r="M30" s="178"/>
    </row>
    <row r="31" spans="1:13" ht="12.75">
      <c r="A31" s="10" t="s">
        <v>417</v>
      </c>
      <c r="B31" s="213">
        <v>0</v>
      </c>
      <c r="C31" s="213">
        <v>0</v>
      </c>
      <c r="D31" s="749">
        <f>C31/C32</f>
        <v>0</v>
      </c>
      <c r="E31" s="204"/>
      <c r="F31" s="275">
        <f>+'[1]TB03-31-04(Final)'!F548</f>
        <v>1047.62</v>
      </c>
      <c r="G31" s="212">
        <f>F31+B31</f>
        <v>1047.62</v>
      </c>
      <c r="H31" s="66"/>
      <c r="I31" s="67"/>
      <c r="J31" s="67"/>
      <c r="K31" s="266"/>
      <c r="L31" s="179"/>
      <c r="M31" s="178"/>
    </row>
    <row r="32" spans="1:13" ht="13.5" thickBot="1">
      <c r="A32" s="8" t="s">
        <v>430</v>
      </c>
      <c r="B32" s="174">
        <f>SUM(B29:B31)</f>
        <v>982.14</v>
      </c>
      <c r="C32" s="174">
        <f>SUM(C29:C31)</f>
        <v>1500</v>
      </c>
      <c r="D32" s="749">
        <f>C32/$C$49</f>
        <v>0.00039913447741789855</v>
      </c>
      <c r="E32" s="214"/>
      <c r="F32" s="276">
        <f>SUM(F29:F31)</f>
        <v>1103.4799999999998</v>
      </c>
      <c r="G32" s="214">
        <f>SUM(G29:G31)</f>
        <v>2085.62</v>
      </c>
      <c r="H32" s="66" t="s">
        <v>445</v>
      </c>
      <c r="I32" s="72"/>
      <c r="J32" s="72"/>
      <c r="K32" s="266"/>
      <c r="L32" s="179"/>
      <c r="M32" s="178"/>
    </row>
    <row r="33" spans="2:13" ht="12.75">
      <c r="B33" s="175"/>
      <c r="C33" s="175"/>
      <c r="D33" s="752"/>
      <c r="E33" s="204"/>
      <c r="F33" s="277"/>
      <c r="G33" s="204"/>
      <c r="H33" s="66"/>
      <c r="I33" s="67" t="s">
        <v>446</v>
      </c>
      <c r="J33" s="67"/>
      <c r="K33" s="266"/>
      <c r="L33" s="179"/>
      <c r="M33" s="178"/>
    </row>
    <row r="34" spans="1:13" ht="12.75">
      <c r="A34" s="59">
        <v>2002</v>
      </c>
      <c r="B34" s="175"/>
      <c r="C34" s="175"/>
      <c r="D34" s="752"/>
      <c r="E34" s="204"/>
      <c r="F34" s="277"/>
      <c r="G34" s="204"/>
      <c r="H34" s="66"/>
      <c r="I34" s="67"/>
      <c r="J34" s="67"/>
      <c r="K34" s="266"/>
      <c r="L34" s="179" t="s">
        <v>448</v>
      </c>
      <c r="M34" s="178"/>
    </row>
    <row r="35" spans="1:13" ht="13.5" thickBot="1">
      <c r="A35" s="10" t="s">
        <v>471</v>
      </c>
      <c r="B35" s="175">
        <f>+'[1]TB3-31-04 (Pre)'!F472</f>
        <v>40871.79</v>
      </c>
      <c r="C35" s="212">
        <f>+'[1]TB3-31-04 (Pre)'!F364</f>
        <v>1371608.06</v>
      </c>
      <c r="D35" s="749">
        <f>C35/C38</f>
        <v>0.9514546164884548</v>
      </c>
      <c r="E35" s="215"/>
      <c r="F35" s="275">
        <f>+'[1]TB3-31-04 (Pre)'!F519</f>
        <v>51079.75</v>
      </c>
      <c r="G35" s="212">
        <f>B35+F35</f>
        <v>91951.54000000001</v>
      </c>
      <c r="H35" s="66" t="s">
        <v>447</v>
      </c>
      <c r="I35" s="72"/>
      <c r="J35" s="72"/>
      <c r="K35" s="266"/>
      <c r="L35" s="179"/>
      <c r="M35" s="178"/>
    </row>
    <row r="36" spans="1:13" ht="13.5" thickBot="1">
      <c r="A36" s="10" t="s">
        <v>472</v>
      </c>
      <c r="B36" s="212">
        <f>+'[1]TB3-31-04 (Pre)'!F479</f>
        <v>36651.02</v>
      </c>
      <c r="C36" s="212">
        <f>+'[1]TB3-31-04 (Pre)'!F372</f>
        <v>69982.57</v>
      </c>
      <c r="D36" s="749">
        <f>C36/C38</f>
        <v>0.04854538351154516</v>
      </c>
      <c r="E36" s="215"/>
      <c r="F36" s="275">
        <f>+'[1]TB3-31-04 (Pre)'!F526</f>
        <v>2606.21</v>
      </c>
      <c r="G36" s="212">
        <f>B36+F36</f>
        <v>39257.229999999996</v>
      </c>
      <c r="H36" s="73"/>
      <c r="I36" s="72" t="s">
        <v>257</v>
      </c>
      <c r="J36" s="72"/>
      <c r="K36" s="268"/>
      <c r="L36" s="185"/>
      <c r="M36" s="186"/>
    </row>
    <row r="37" spans="1:10" ht="12.75">
      <c r="A37" s="10" t="s">
        <v>417</v>
      </c>
      <c r="B37" s="213">
        <f>+'[1]TB03-31-04(Final)'!F479</f>
        <v>0</v>
      </c>
      <c r="C37" s="213">
        <f>+'[1]TB3-31-04 (Pre)'!F379</f>
        <v>0</v>
      </c>
      <c r="D37" s="749">
        <f>C37/C38</f>
        <v>0</v>
      </c>
      <c r="E37" s="215"/>
      <c r="F37" s="275">
        <f>+'[1]TB03-31-04(Final)'!F540</f>
        <v>0</v>
      </c>
      <c r="G37" s="212">
        <f>F37+B37</f>
        <v>0</v>
      </c>
      <c r="H37" s="8"/>
      <c r="I37" s="8"/>
      <c r="J37" s="8"/>
    </row>
    <row r="38" spans="1:10" ht="12.75">
      <c r="A38" s="8" t="s">
        <v>430</v>
      </c>
      <c r="B38" s="174">
        <f>SUM(B35:B37)</f>
        <v>77522.81</v>
      </c>
      <c r="C38" s="174">
        <f>SUM(C35:C37)</f>
        <v>1441590.6300000001</v>
      </c>
      <c r="D38" s="749">
        <f>C38/$C$49</f>
        <v>0.38359234850372614</v>
      </c>
      <c r="E38" s="216"/>
      <c r="F38" s="276">
        <f>SUM(F35:F37)</f>
        <v>53685.96</v>
      </c>
      <c r="G38" s="214">
        <f>SUM(G35:G37)</f>
        <v>131208.77000000002</v>
      </c>
      <c r="H38" s="8"/>
      <c r="I38" s="8"/>
      <c r="J38" s="8"/>
    </row>
    <row r="39" spans="2:10" ht="12.75">
      <c r="B39" s="173"/>
      <c r="C39" s="173"/>
      <c r="D39" s="749"/>
      <c r="E39" s="296"/>
      <c r="F39" s="275"/>
      <c r="G39" s="212"/>
      <c r="H39" s="8"/>
      <c r="I39" s="8"/>
      <c r="J39" s="8"/>
    </row>
    <row r="40" spans="1:15" s="136" customFormat="1" ht="12.75">
      <c r="A40" s="59">
        <v>2003</v>
      </c>
      <c r="B40" s="175"/>
      <c r="C40" s="175"/>
      <c r="D40" s="752"/>
      <c r="E40" s="204"/>
      <c r="F40" s="277"/>
      <c r="G40" s="204"/>
      <c r="H40" s="8"/>
      <c r="I40" s="8"/>
      <c r="J40" s="8"/>
      <c r="K40" s="142"/>
      <c r="L40" s="187"/>
      <c r="M40" s="187"/>
      <c r="O40" s="227"/>
    </row>
    <row r="41" spans="1:15" s="136" customFormat="1" ht="12.75">
      <c r="A41" s="10" t="s">
        <v>471</v>
      </c>
      <c r="B41" s="175">
        <f>+'[1]TB3-31-04 (Pre)'!F473</f>
        <v>87858.67</v>
      </c>
      <c r="C41" s="212">
        <f>+'[1]TB3-31-04 (Pre)'!F365</f>
        <v>1626410.46</v>
      </c>
      <c r="D41" s="749">
        <f>C41/C44</f>
        <v>0.7209933397914958</v>
      </c>
      <c r="E41" s="215"/>
      <c r="F41" s="275">
        <f>+'[1]TB3-31-04 (Pre)'!F520</f>
        <v>60568.8</v>
      </c>
      <c r="G41" s="212">
        <f>B41+F41</f>
        <v>148427.47</v>
      </c>
      <c r="H41" s="94"/>
      <c r="I41" s="94"/>
      <c r="J41" s="94"/>
      <c r="K41" s="281"/>
      <c r="L41" s="188"/>
      <c r="M41" s="188"/>
      <c r="O41" s="227"/>
    </row>
    <row r="42" spans="1:15" s="136" customFormat="1" ht="12.75">
      <c r="A42" s="10" t="s">
        <v>472</v>
      </c>
      <c r="B42" s="212">
        <f>+'[1]TB3-31-04 (Pre)'!F480</f>
        <v>122270.13</v>
      </c>
      <c r="C42" s="212">
        <f>+'[1]TB3-31-04 (Pre)'!F373</f>
        <v>628151.78</v>
      </c>
      <c r="D42" s="749">
        <f>C42/C44</f>
        <v>0.2784618402897956</v>
      </c>
      <c r="E42" s="215"/>
      <c r="F42" s="275">
        <f>+'[1]TB3-31-04 (Pre)'!F527</f>
        <v>23392.86</v>
      </c>
      <c r="G42" s="212">
        <f>B42+F42</f>
        <v>145662.99</v>
      </c>
      <c r="H42" s="94"/>
      <c r="I42" s="94"/>
      <c r="J42" s="94"/>
      <c r="K42" s="281"/>
      <c r="L42" s="188"/>
      <c r="M42" s="188"/>
      <c r="O42" s="227"/>
    </row>
    <row r="43" spans="1:15" s="136" customFormat="1" ht="12.75">
      <c r="A43" s="10" t="s">
        <v>417</v>
      </c>
      <c r="B43" s="213">
        <v>0</v>
      </c>
      <c r="C43" s="213">
        <f>+'[1]TB3-31-04 (Pre)'!F380</f>
        <v>1229</v>
      </c>
      <c r="D43" s="749">
        <f>C43/C44</f>
        <v>0.000544819918708435</v>
      </c>
      <c r="E43" s="215"/>
      <c r="F43" s="275">
        <f>+'[1]TB3-31-04 (Pre)'!F533</f>
        <v>45.77</v>
      </c>
      <c r="G43" s="212">
        <f>F43+B43</f>
        <v>45.77</v>
      </c>
      <c r="H43" s="94"/>
      <c r="I43" s="94"/>
      <c r="J43" s="94"/>
      <c r="K43" s="281"/>
      <c r="L43" s="188"/>
      <c r="M43" s="188"/>
      <c r="O43" s="227"/>
    </row>
    <row r="44" spans="1:13" ht="12.75">
      <c r="A44" s="8" t="s">
        <v>430</v>
      </c>
      <c r="B44" s="174">
        <f>SUM(B41:B43)</f>
        <v>210128.8</v>
      </c>
      <c r="C44" s="174">
        <f>SUM(C41:C43)</f>
        <v>2255791.24</v>
      </c>
      <c r="D44" s="749">
        <f>C44/$C$49</f>
        <v>0.600242705160849</v>
      </c>
      <c r="E44" s="216"/>
      <c r="F44" s="276">
        <f>SUM(F41:F43)</f>
        <v>84007.43000000001</v>
      </c>
      <c r="G44" s="214">
        <f>SUM(G41:G43)</f>
        <v>294136.23</v>
      </c>
      <c r="H44" s="94"/>
      <c r="I44" s="94"/>
      <c r="J44" s="94"/>
      <c r="K44" s="281"/>
      <c r="L44" s="188"/>
      <c r="M44" s="188"/>
    </row>
    <row r="45" spans="1:10" ht="12.75">
      <c r="A45" s="61" t="s">
        <v>473</v>
      </c>
      <c r="B45" s="175"/>
      <c r="C45" s="175"/>
      <c r="D45" s="752"/>
      <c r="E45" s="204"/>
      <c r="F45" s="277"/>
      <c r="G45" s="204"/>
      <c r="H45" s="8"/>
      <c r="I45" s="8"/>
      <c r="J45" s="8"/>
    </row>
    <row r="46" spans="1:7" ht="12.75">
      <c r="A46" s="67" t="s">
        <v>471</v>
      </c>
      <c r="B46" s="217">
        <f aca="true" t="shared" si="0" ref="B46:C48">+B11+B17+B23+B29+B35+B41</f>
        <v>130439.1</v>
      </c>
      <c r="C46" s="217">
        <f t="shared" si="0"/>
        <v>3058768.52</v>
      </c>
      <c r="D46" s="750">
        <f>C46/C49</f>
        <v>0.813906649848346</v>
      </c>
      <c r="E46" s="217"/>
      <c r="F46" s="298" t="e">
        <f>+F17+F23+F29+F35+F41</f>
        <v>#REF!</v>
      </c>
      <c r="G46" s="217" t="e">
        <f>B46+F46</f>
        <v>#REF!</v>
      </c>
    </row>
    <row r="47" spans="1:7" ht="12.75">
      <c r="A47" s="67" t="s">
        <v>472</v>
      </c>
      <c r="B47" s="217" t="e">
        <f t="shared" si="0"/>
        <v>#REF!</v>
      </c>
      <c r="C47" s="217">
        <f t="shared" si="0"/>
        <v>698134.3500000001</v>
      </c>
      <c r="D47" s="750">
        <f>C47/C49</f>
        <v>0.1857663259698229</v>
      </c>
      <c r="E47" s="217"/>
      <c r="F47" s="278" t="e">
        <f>+F18+F24+F30+F36+F42</f>
        <v>#REF!</v>
      </c>
      <c r="G47" s="217" t="e">
        <f>B47+F47</f>
        <v>#REF!</v>
      </c>
    </row>
    <row r="48" spans="1:7" ht="12.75">
      <c r="A48" s="67" t="s">
        <v>417</v>
      </c>
      <c r="B48" s="217">
        <f t="shared" si="0"/>
        <v>-374.81</v>
      </c>
      <c r="C48" s="217">
        <f t="shared" si="0"/>
        <v>1229</v>
      </c>
      <c r="D48" s="750">
        <f>C48/C49</f>
        <v>0.0003270241818310649</v>
      </c>
      <c r="E48" s="217"/>
      <c r="F48" s="278">
        <f>+F43+F37+F31+F25+F19</f>
        <v>1093.3899999999999</v>
      </c>
      <c r="G48" s="217">
        <f>B48+F48</f>
        <v>718.5799999999999</v>
      </c>
    </row>
    <row r="49" spans="1:7" ht="13.5" thickBot="1">
      <c r="A49" s="94" t="s">
        <v>430</v>
      </c>
      <c r="B49" s="305" t="e">
        <f>SUM(B46:B48)</f>
        <v>#REF!</v>
      </c>
      <c r="C49" s="305">
        <f>SUM(C46:C48)</f>
        <v>3758131.87</v>
      </c>
      <c r="D49" s="750">
        <f>C49/$C$49</f>
        <v>1</v>
      </c>
      <c r="E49" s="305"/>
      <c r="F49" s="306" t="e">
        <f>SUM(F46:F48)</f>
        <v>#REF!</v>
      </c>
      <c r="G49" s="305" t="e">
        <f>B49+F49</f>
        <v>#REF!</v>
      </c>
    </row>
    <row r="50" spans="1:15" s="578" customFormat="1" ht="13.5" thickTop="1">
      <c r="A50" s="574" t="s">
        <v>221</v>
      </c>
      <c r="B50" s="575">
        <f>+'[1]TB03-31-04(Final)'!G486</f>
        <v>292907.87</v>
      </c>
      <c r="C50" s="575">
        <f>+'[1]TB03-31-04(Final)'!G384</f>
        <v>3791762.3499999996</v>
      </c>
      <c r="D50" s="576"/>
      <c r="E50" s="577"/>
      <c r="F50" s="577">
        <f>+'[1]TB03-31-04(Final)'!G547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73</v>
      </c>
      <c r="B52" s="300"/>
      <c r="C52" s="300"/>
      <c r="D52" s="209"/>
      <c r="E52" s="175"/>
      <c r="F52" s="218"/>
      <c r="G52" s="175"/>
    </row>
    <row r="53" spans="1:7" ht="25.5">
      <c r="A53" s="62" t="s">
        <v>474</v>
      </c>
      <c r="B53" s="176"/>
      <c r="C53" s="176"/>
      <c r="D53" s="210"/>
      <c r="E53" s="204"/>
      <c r="F53" s="297">
        <v>495387.39</v>
      </c>
      <c r="G53" s="204"/>
    </row>
    <row r="55" spans="1:6" ht="12.75">
      <c r="A55" s="118" t="s">
        <v>217</v>
      </c>
      <c r="B55" s="123">
        <v>51200</v>
      </c>
      <c r="C55" s="124">
        <v>51100</v>
      </c>
      <c r="D55" s="220"/>
      <c r="E55" s="125"/>
      <c r="F55" s="125" t="s">
        <v>219</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19.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07" t="s">
        <v>108</v>
      </c>
      <c r="B2" s="1007"/>
      <c r="C2" s="1007"/>
      <c r="D2" s="1007"/>
      <c r="E2" s="1007"/>
      <c r="F2" s="1007"/>
      <c r="G2" s="1007"/>
      <c r="H2" s="1007"/>
      <c r="I2" s="1007"/>
      <c r="J2" s="1007"/>
    </row>
    <row r="3" spans="1:7" ht="19.5" customHeight="1">
      <c r="A3" s="243"/>
      <c r="B3" s="244"/>
      <c r="C3" s="244"/>
      <c r="E3" s="244"/>
      <c r="F3" s="244"/>
      <c r="G3" s="244"/>
    </row>
    <row r="4" spans="1:10" ht="19.5" customHeight="1">
      <c r="A4" s="1008" t="s">
        <v>109</v>
      </c>
      <c r="B4" s="1008"/>
      <c r="C4" s="1008"/>
      <c r="D4" s="1008"/>
      <c r="E4" s="1008"/>
      <c r="F4" s="1008"/>
      <c r="G4" s="1008"/>
      <c r="H4" s="1008"/>
      <c r="I4" s="1008"/>
      <c r="J4" s="1008"/>
    </row>
    <row r="5" ht="19.5" customHeight="1">
      <c r="B5" s="9"/>
    </row>
    <row r="6" spans="2:10" ht="19.5" customHeight="1">
      <c r="B6" s="1009" t="s">
        <v>453</v>
      </c>
      <c r="C6" s="1009"/>
      <c r="D6" s="1009"/>
      <c r="E6" s="6"/>
      <c r="F6" s="6"/>
      <c r="G6" s="6"/>
      <c r="H6" s="141" t="s">
        <v>454</v>
      </c>
      <c r="I6" s="141"/>
      <c r="J6" s="140"/>
    </row>
    <row r="7" spans="2:10" ht="19.5" customHeight="1" thickBot="1">
      <c r="B7" s="1010" t="s">
        <v>110</v>
      </c>
      <c r="C7" s="1010"/>
      <c r="D7" s="1010"/>
      <c r="E7" s="248"/>
      <c r="F7" s="248"/>
      <c r="G7" s="248"/>
      <c r="H7" s="1010" t="s">
        <v>110</v>
      </c>
      <c r="I7" s="1010"/>
      <c r="J7" s="1010"/>
    </row>
    <row r="8" spans="2:10" ht="19.5" customHeight="1" thickBot="1">
      <c r="B8" s="245">
        <v>2002</v>
      </c>
      <c r="C8" s="139"/>
      <c r="D8" s="245">
        <v>2001</v>
      </c>
      <c r="E8" s="139"/>
      <c r="F8" s="359" t="s">
        <v>245</v>
      </c>
      <c r="G8" s="139"/>
      <c r="H8" s="245">
        <v>2002</v>
      </c>
      <c r="I8" s="139"/>
      <c r="J8" s="245">
        <v>2001</v>
      </c>
    </row>
    <row r="9" spans="1:9" ht="19.5" customHeight="1">
      <c r="A9" s="14"/>
      <c r="B9" s="112"/>
      <c r="C9" s="112"/>
      <c r="D9" s="14"/>
      <c r="E9" s="130"/>
      <c r="F9" s="130"/>
      <c r="G9" s="130"/>
      <c r="I9" s="45"/>
    </row>
    <row r="10" spans="1:10" ht="19.5" customHeight="1">
      <c r="A10" s="95" t="s">
        <v>111</v>
      </c>
      <c r="B10" s="131">
        <f>-'[1]TB03-31-04(Final)'!E317</f>
        <v>5676242</v>
      </c>
      <c r="C10" s="131"/>
      <c r="D10" s="131">
        <f>+'[5]Highlights (pg 1)'!$B$10</f>
        <v>4280821</v>
      </c>
      <c r="E10" s="131"/>
      <c r="F10" s="361">
        <f>(+B10-D10)/D10</f>
        <v>0.3259704154880571</v>
      </c>
      <c r="G10" s="131"/>
      <c r="H10" s="131">
        <f>-'[1]TB03-31-04(Final)'!G317</f>
        <v>5676242</v>
      </c>
      <c r="I10" s="131"/>
      <c r="J10" s="131">
        <f>+'[5]Highlights (pg 1)'!$F$10</f>
        <v>16190670</v>
      </c>
    </row>
    <row r="11" spans="1:10" ht="19.5" customHeight="1">
      <c r="A11" s="95"/>
      <c r="B11" s="112"/>
      <c r="C11" s="112"/>
      <c r="D11" s="112"/>
      <c r="E11" s="112"/>
      <c r="F11" s="360"/>
      <c r="G11" s="112"/>
      <c r="H11" s="112"/>
      <c r="I11" s="14"/>
      <c r="J11" s="112"/>
    </row>
    <row r="12" spans="1:10" ht="19.5" customHeight="1">
      <c r="A12" s="95" t="s">
        <v>112</v>
      </c>
      <c r="B12" s="112">
        <f>-'[1]TB03-31-04(Final)'!E338</f>
        <v>5376116</v>
      </c>
      <c r="C12" s="112"/>
      <c r="D12" s="112">
        <f>+'[5]Highlights (pg 1)'!$B$12</f>
        <v>4133399</v>
      </c>
      <c r="E12" s="112"/>
      <c r="F12" s="361">
        <f>(+B12-D12)/D12</f>
        <v>0.30065256221332615</v>
      </c>
      <c r="G12" s="112"/>
      <c r="H12" s="112">
        <f>-'[1]TB03-31-04(Final)'!G338</f>
        <v>5376116</v>
      </c>
      <c r="I12" s="112"/>
      <c r="J12" s="112">
        <f>+'[5]Highlights (pg 1)'!$F$12</f>
        <v>16708714</v>
      </c>
    </row>
    <row r="13" spans="1:10" ht="19.5" customHeight="1">
      <c r="A13" s="95"/>
      <c r="B13" s="112"/>
      <c r="C13" s="112"/>
      <c r="D13" s="112"/>
      <c r="E13" s="112"/>
      <c r="F13" s="360"/>
      <c r="G13" s="112"/>
      <c r="H13" s="112"/>
      <c r="I13" s="14"/>
      <c r="J13" s="112"/>
    </row>
    <row r="14" spans="1:10" ht="19.5" customHeight="1">
      <c r="A14" s="95" t="s">
        <v>113</v>
      </c>
      <c r="B14" s="112">
        <f>+'[1]TB03-31-04(Final)'!E462</f>
        <v>4105799.4900000007</v>
      </c>
      <c r="C14" s="112"/>
      <c r="D14" s="112">
        <f>+'[5]Highlights (pg 1)'!$B$14</f>
        <v>2779701.7999999993</v>
      </c>
      <c r="E14" s="112"/>
      <c r="F14" s="361">
        <f>(+B14-D14)/D14</f>
        <v>0.477064730468571</v>
      </c>
      <c r="G14" s="112"/>
      <c r="H14" s="112">
        <f>+'[1]TB03-31-04(Final)'!G462</f>
        <v>4105799.4900000007</v>
      </c>
      <c r="I14" s="112"/>
      <c r="J14" s="112">
        <f>+'[5]Highlights (pg 1)'!$F$14</f>
        <v>14011900.985</v>
      </c>
    </row>
    <row r="15" spans="1:10" ht="19.5" customHeight="1">
      <c r="A15" s="95"/>
      <c r="B15" s="112"/>
      <c r="C15" s="112"/>
      <c r="D15" s="112"/>
      <c r="E15" s="112"/>
      <c r="F15" s="360"/>
      <c r="G15" s="112"/>
      <c r="H15" s="112"/>
      <c r="I15" s="14"/>
      <c r="J15" s="112"/>
    </row>
    <row r="16" spans="1:10" ht="19.5" customHeight="1">
      <c r="A16" s="95" t="s">
        <v>114</v>
      </c>
      <c r="B16" s="112">
        <f>+'[1]TB03-31-04(Final)'!E578</f>
        <v>474152.5300000001</v>
      </c>
      <c r="C16" s="112"/>
      <c r="D16" s="112">
        <f>+'[5]Highlights (pg 1)'!$B$16</f>
        <v>359851.97759499995</v>
      </c>
      <c r="E16" s="112"/>
      <c r="F16" s="361">
        <f>(+B16-D16)/D16</f>
        <v>0.3176321363270127</v>
      </c>
      <c r="G16" s="112"/>
      <c r="H16" s="112">
        <f>+'[1]TB03-31-04(Final)'!G578</f>
        <v>474152.5300000001</v>
      </c>
      <c r="I16" s="112"/>
      <c r="J16" s="112">
        <f>+'[5]Highlights (pg 1)'!$F$16</f>
        <v>1458256.25543</v>
      </c>
    </row>
    <row r="17" spans="1:10" ht="19.5" customHeight="1">
      <c r="A17" s="95"/>
      <c r="B17" s="112"/>
      <c r="C17" s="112"/>
      <c r="D17" s="112"/>
      <c r="E17" s="112"/>
      <c r="F17" s="360"/>
      <c r="G17" s="112"/>
      <c r="H17" s="112"/>
      <c r="I17" s="14"/>
      <c r="J17" s="112"/>
    </row>
    <row r="18" spans="1:10" ht="19.5" customHeight="1">
      <c r="A18" s="95" t="s">
        <v>115</v>
      </c>
      <c r="B18" s="112">
        <f>+'[1]TB03-31-04(Final)'!E648+'[1]TB03-31-04(Final)'!E1005</f>
        <v>1100075.5799999996</v>
      </c>
      <c r="C18" s="112"/>
      <c r="D18" s="112">
        <f>+'[5]Highlights (pg 1)'!$B$18</f>
        <v>1236377.2000000002</v>
      </c>
      <c r="E18" s="112"/>
      <c r="F18" s="361">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0"/>
      <c r="G19" s="112"/>
      <c r="H19" s="112"/>
      <c r="I19" s="14"/>
      <c r="J19" s="112"/>
    </row>
    <row r="20" spans="1:10" ht="19.5" customHeight="1">
      <c r="A20" s="95" t="s">
        <v>283</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116</v>
      </c>
      <c r="B22" s="112">
        <f>-'[1]TB03-31-04(Final)'!E357</f>
        <v>29500.729999999996</v>
      </c>
      <c r="C22" s="112"/>
      <c r="D22" s="131">
        <f>+'[5]Highlights (pg 1)'!$B$22</f>
        <v>51020.619999999995</v>
      </c>
      <c r="E22" s="112"/>
      <c r="F22" s="361">
        <f>(+B22-D22)/D22</f>
        <v>-0.421788092735839</v>
      </c>
      <c r="G22" s="112"/>
      <c r="H22" s="112">
        <f>-'[1]TB03-31-04(Final)'!G357</f>
        <v>29500.729999999996</v>
      </c>
      <c r="I22" s="112"/>
      <c r="J22" s="112">
        <f>+'[5]Highlights (pg 1)'!$F$22</f>
        <v>406576.29999999993</v>
      </c>
    </row>
    <row r="23" spans="1:10" ht="19.5" customHeight="1">
      <c r="A23" s="95"/>
      <c r="B23" s="112"/>
      <c r="C23" s="112"/>
      <c r="D23" s="112"/>
      <c r="E23" s="112"/>
      <c r="F23" s="360"/>
      <c r="G23" s="112"/>
      <c r="H23" s="112"/>
      <c r="I23" s="14"/>
      <c r="J23" s="112"/>
    </row>
    <row r="24" spans="1:10" ht="19.5" customHeight="1">
      <c r="A24" s="95" t="s">
        <v>172</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117</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118</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119</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46" t="s">
        <v>278</v>
      </c>
      <c r="C1" s="947"/>
      <c r="D1" s="947"/>
      <c r="E1" s="947"/>
      <c r="F1" s="947"/>
      <c r="G1" s="947"/>
      <c r="H1" s="947"/>
      <c r="I1" s="948"/>
    </row>
    <row r="2" spans="2:9" s="11" customFormat="1" ht="19.5">
      <c r="B2" s="955"/>
      <c r="C2" s="956"/>
      <c r="D2" s="956"/>
      <c r="E2" s="956"/>
      <c r="F2" s="956"/>
      <c r="G2" s="605"/>
      <c r="H2" s="606"/>
      <c r="I2" s="607"/>
    </row>
    <row r="3" spans="2:9" s="12" customFormat="1" ht="16.5">
      <c r="B3" s="949" t="s">
        <v>233</v>
      </c>
      <c r="C3" s="950"/>
      <c r="D3" s="950"/>
      <c r="E3" s="950"/>
      <c r="F3" s="950"/>
      <c r="G3" s="950"/>
      <c r="H3" s="950"/>
      <c r="I3" s="951"/>
    </row>
    <row r="4" spans="2:9" s="12" customFormat="1" ht="16.5">
      <c r="B4" s="952" t="s">
        <v>178</v>
      </c>
      <c r="C4" s="953"/>
      <c r="D4" s="953"/>
      <c r="E4" s="953"/>
      <c r="F4" s="953"/>
      <c r="G4" s="953"/>
      <c r="H4" s="953"/>
      <c r="I4" s="954"/>
    </row>
    <row r="5" spans="2:9" ht="15">
      <c r="B5" s="608"/>
      <c r="C5" s="633"/>
      <c r="D5" s="633"/>
      <c r="E5" s="944" t="s">
        <v>162</v>
      </c>
      <c r="F5" s="944"/>
      <c r="G5" s="632"/>
      <c r="H5" s="944" t="s">
        <v>163</v>
      </c>
      <c r="I5" s="945"/>
    </row>
    <row r="6" spans="2:9" ht="45">
      <c r="B6" s="608"/>
      <c r="C6" s="609" t="s">
        <v>234</v>
      </c>
      <c r="D6" s="609" t="s">
        <v>235</v>
      </c>
      <c r="E6" s="609" t="s">
        <v>236</v>
      </c>
      <c r="F6" s="609" t="s">
        <v>237</v>
      </c>
      <c r="G6" s="610"/>
      <c r="H6" s="609" t="s">
        <v>236</v>
      </c>
      <c r="I6" s="631" t="s">
        <v>237</v>
      </c>
    </row>
    <row r="7" spans="1:9" ht="15">
      <c r="A7" s="14" t="s">
        <v>451</v>
      </c>
      <c r="B7" s="611" t="s">
        <v>280</v>
      </c>
      <c r="C7" s="473"/>
      <c r="D7" s="473"/>
      <c r="E7" s="473"/>
      <c r="F7" s="473"/>
      <c r="G7" s="610"/>
      <c r="H7" s="596"/>
      <c r="I7" s="596"/>
    </row>
    <row r="8" spans="1:9" ht="14.25">
      <c r="A8" s="14">
        <v>5</v>
      </c>
      <c r="B8" s="612" t="s">
        <v>238</v>
      </c>
      <c r="C8" s="474"/>
      <c r="D8" s="474"/>
      <c r="E8" s="474"/>
      <c r="F8" s="474"/>
      <c r="G8" s="613"/>
      <c r="H8" s="597"/>
      <c r="I8" s="597"/>
    </row>
    <row r="9" spans="2:9" ht="14.25">
      <c r="B9" s="612" t="s">
        <v>239</v>
      </c>
      <c r="C9" s="474">
        <f>+'[1]TB03-31-04(Final)'!G16+'[1]TB03-31-04(Final)'!G23</f>
        <v>9850900.019999998</v>
      </c>
      <c r="D9" s="481">
        <v>0</v>
      </c>
      <c r="E9" s="481">
        <v>0</v>
      </c>
      <c r="F9" s="474">
        <f>SUM(C9:E9)</f>
        <v>9850900.019999998</v>
      </c>
      <c r="G9" s="613"/>
      <c r="H9" s="597"/>
      <c r="I9" s="598">
        <f>+'[7]Balance Sheet (pg 1)'!$E$9</f>
        <v>9779587.32</v>
      </c>
    </row>
    <row r="10" spans="1:9" ht="14.25">
      <c r="A10" s="14">
        <v>11</v>
      </c>
      <c r="B10" s="612" t="s">
        <v>169</v>
      </c>
      <c r="C10" s="482">
        <v>0</v>
      </c>
      <c r="D10" s="482">
        <f>+'[1]TB03-31-04(Final)'!G25</f>
        <v>10038.47</v>
      </c>
      <c r="E10" s="482">
        <v>0</v>
      </c>
      <c r="F10" s="482">
        <f>SUM(C10:E10)</f>
        <v>10038.47</v>
      </c>
      <c r="G10" s="613"/>
      <c r="H10" s="597"/>
      <c r="I10" s="599">
        <f>+'[7]Balance Sheet (pg 1)'!$E$10</f>
        <v>9035.63</v>
      </c>
    </row>
    <row r="11" spans="1:9" ht="14.25" customHeight="1">
      <c r="A11" s="14">
        <v>18</v>
      </c>
      <c r="B11" s="612" t="s">
        <v>282</v>
      </c>
      <c r="C11" s="482">
        <f>+'[1]TB03-31-04(Final)'!E1029</f>
        <v>172930.65000000002</v>
      </c>
      <c r="D11" s="482">
        <v>0</v>
      </c>
      <c r="E11" s="482">
        <f>C11</f>
        <v>172930.65000000002</v>
      </c>
      <c r="F11" s="482">
        <f>+C11-E11</f>
        <v>0</v>
      </c>
      <c r="G11" s="613"/>
      <c r="H11" s="599">
        <f>+'[7]Balance Sheet (pg 1)'!$D$11</f>
        <v>240717.92</v>
      </c>
      <c r="I11" s="600">
        <f>+'[7]Balance Sheet (pg 1)'!$E$11</f>
        <v>0</v>
      </c>
    </row>
    <row r="12" spans="1:9" ht="14.25" customHeight="1">
      <c r="A12" s="14">
        <v>17</v>
      </c>
      <c r="B12" s="612" t="s">
        <v>284</v>
      </c>
      <c r="C12" s="482">
        <f>+'[1]TB03-31-04(Final)'!G1033</f>
        <v>52339.42</v>
      </c>
      <c r="D12" s="482">
        <v>0</v>
      </c>
      <c r="E12" s="482">
        <v>0</v>
      </c>
      <c r="F12" s="482">
        <f>+C12-E12</f>
        <v>52339.42</v>
      </c>
      <c r="G12" s="613"/>
      <c r="H12" s="597"/>
      <c r="I12" s="600">
        <f>+'[7]Balance Sheet (pg 1)'!$E$12</f>
        <v>20473.260000000002</v>
      </c>
    </row>
    <row r="13" spans="1:9" ht="15.75" customHeight="1">
      <c r="A13" s="14">
        <v>18</v>
      </c>
      <c r="B13" s="612" t="s">
        <v>285</v>
      </c>
      <c r="C13" s="482">
        <f>+'[1]TB03-31-04(Final)'!E1038</f>
        <v>46955.560000000005</v>
      </c>
      <c r="D13" s="482">
        <v>0</v>
      </c>
      <c r="E13" s="482">
        <f>C13</f>
        <v>46955.560000000005</v>
      </c>
      <c r="F13" s="482">
        <f>+C13-E13</f>
        <v>0</v>
      </c>
      <c r="G13" s="613"/>
      <c r="H13" s="599">
        <f>+'[7]Balance Sheet (pg 1)'!$D$13</f>
        <v>58331.310000000005</v>
      </c>
      <c r="I13" s="600">
        <f>+'[7]Balance Sheet (pg 1)'!$E$13</f>
        <v>0</v>
      </c>
    </row>
    <row r="14" spans="1:9" ht="14.25">
      <c r="A14" s="14">
        <v>23</v>
      </c>
      <c r="B14" s="614" t="s">
        <v>180</v>
      </c>
      <c r="C14" s="482">
        <v>0</v>
      </c>
      <c r="D14" s="482">
        <v>0</v>
      </c>
      <c r="E14" s="482">
        <v>0</v>
      </c>
      <c r="F14" s="482">
        <f>+C14-E14</f>
        <v>0</v>
      </c>
      <c r="G14" s="613"/>
      <c r="H14" s="603">
        <f>+'[7]Balance Sheet (pg 1)'!$D$16</f>
        <v>335155</v>
      </c>
      <c r="I14" s="600">
        <f>+'[7]Balance Sheet (pg 1)'!$E$16</f>
        <v>0</v>
      </c>
    </row>
    <row r="15" spans="1:9" ht="14.25">
      <c r="A15" s="14">
        <v>23</v>
      </c>
      <c r="B15" s="615" t="s">
        <v>181</v>
      </c>
      <c r="C15" s="604">
        <v>0</v>
      </c>
      <c r="D15" s="604">
        <v>0</v>
      </c>
      <c r="E15" s="604">
        <f>C15</f>
        <v>0</v>
      </c>
      <c r="F15" s="604">
        <f>+C15-E15</f>
        <v>0</v>
      </c>
      <c r="G15" s="616"/>
      <c r="H15" s="603">
        <v>42501</v>
      </c>
      <c r="I15" s="602">
        <f>+'[7]Balance Sheet (pg 1)'!$E$14</f>
        <v>0</v>
      </c>
    </row>
    <row r="16" spans="1:9" ht="14.25">
      <c r="A16" s="14">
        <v>23</v>
      </c>
      <c r="B16" s="614" t="s">
        <v>182</v>
      </c>
      <c r="C16" s="483" t="e">
        <f>+'[1]TB03-31-04(Final)'!F1025</f>
        <v>#REF!</v>
      </c>
      <c r="D16" s="482">
        <v>0</v>
      </c>
      <c r="E16" s="482">
        <v>0</v>
      </c>
      <c r="F16" s="482" t="e">
        <f>+C16-D16-E16</f>
        <v>#REF!</v>
      </c>
      <c r="G16" s="613"/>
      <c r="H16" s="603">
        <f>+'[7]Balance Sheet (pg 1)'!$D$17</f>
        <v>4979.98</v>
      </c>
      <c r="I16" s="600">
        <f>+'[7]Balance Sheet (pg 1)'!$E$17</f>
        <v>0</v>
      </c>
    </row>
    <row r="17" spans="2:9" ht="15">
      <c r="B17" s="617" t="s">
        <v>286</v>
      </c>
      <c r="C17" s="475" t="e">
        <f>SUM(C9:C16)</f>
        <v>#REF!</v>
      </c>
      <c r="D17" s="475">
        <f>SUM(D9:D16)</f>
        <v>10038.47</v>
      </c>
      <c r="E17" s="475">
        <f>SUM(E9:E16)</f>
        <v>219886.21000000002</v>
      </c>
      <c r="F17" s="475" t="e">
        <f>SUM(F9:F16)</f>
        <v>#REF!</v>
      </c>
      <c r="G17" s="613"/>
      <c r="H17" s="475">
        <f>SUM(H7:H16)</f>
        <v>681685.21</v>
      </c>
      <c r="I17" s="475">
        <f>SUM(I9:I16)</f>
        <v>9809096.21</v>
      </c>
    </row>
    <row r="18" spans="2:9" ht="14.25">
      <c r="B18" s="618"/>
      <c r="C18" s="476"/>
      <c r="D18" s="476"/>
      <c r="E18" s="476"/>
      <c r="F18" s="476"/>
      <c r="G18" s="613"/>
      <c r="H18" s="619"/>
      <c r="I18" s="620"/>
    </row>
    <row r="19" spans="1:9" ht="15">
      <c r="A19" s="670" t="s">
        <v>450</v>
      </c>
      <c r="B19" s="621" t="s">
        <v>287</v>
      </c>
      <c r="C19" s="476"/>
      <c r="D19" s="476"/>
      <c r="E19" s="476"/>
      <c r="F19" s="476"/>
      <c r="G19" s="613"/>
      <c r="H19" s="22"/>
      <c r="I19" s="620"/>
    </row>
    <row r="20" spans="1:9" ht="15">
      <c r="A20" s="14">
        <v>1</v>
      </c>
      <c r="B20" s="622" t="s">
        <v>165</v>
      </c>
      <c r="C20" s="476"/>
      <c r="D20" s="477"/>
      <c r="E20" s="485">
        <f>-'[1]TB3-31-04 (Pre)'!F199</f>
        <v>47682</v>
      </c>
      <c r="F20" s="477"/>
      <c r="G20" s="613"/>
      <c r="H20" s="342">
        <f>+'[7]Balance Sheet (pg 1)'!$D$26</f>
        <v>91297.81</v>
      </c>
      <c r="I20" s="620"/>
    </row>
    <row r="21" spans="1:9" ht="15">
      <c r="A21" s="14">
        <v>3</v>
      </c>
      <c r="B21" s="622" t="s">
        <v>166</v>
      </c>
      <c r="C21" s="476"/>
      <c r="D21" s="477"/>
      <c r="E21" s="485">
        <f>-'[1]TB3-31-04 (Pre)'!F198</f>
        <v>6748.45</v>
      </c>
      <c r="F21" s="486"/>
      <c r="G21" s="613"/>
      <c r="H21" s="342"/>
      <c r="I21" s="620"/>
    </row>
    <row r="22" spans="1:9" ht="15">
      <c r="A22" s="14">
        <v>4</v>
      </c>
      <c r="B22" s="622" t="s">
        <v>167</v>
      </c>
      <c r="C22" s="476"/>
      <c r="D22" s="538"/>
      <c r="E22" s="485">
        <f>-'[1]TB03-31-04(Final)'!G272</f>
        <v>263743.5</v>
      </c>
      <c r="F22" s="476"/>
      <c r="G22" s="613"/>
      <c r="H22" s="342">
        <f>+'[7]Balance Sheet (pg 1)'!$D$25</f>
        <v>113994.26000000001</v>
      </c>
      <c r="I22" s="620"/>
    </row>
    <row r="23" spans="1:9" ht="15">
      <c r="A23" s="14">
        <v>5</v>
      </c>
      <c r="B23" s="622" t="s">
        <v>131</v>
      </c>
      <c r="C23" s="476"/>
      <c r="D23" s="538"/>
      <c r="E23" s="485">
        <f>-'[1]TB03-31-04(Final)'!G207</f>
        <v>20527.9</v>
      </c>
      <c r="F23" s="476"/>
      <c r="G23" s="613"/>
      <c r="H23" s="127">
        <f>-'[6]TB09-30-02(Final)'!$F$195</f>
        <v>37678.14</v>
      </c>
      <c r="I23" s="620"/>
    </row>
    <row r="24" spans="1:9" ht="15" customHeight="1">
      <c r="A24" s="14">
        <v>6</v>
      </c>
      <c r="B24" s="622" t="s">
        <v>168</v>
      </c>
      <c r="C24" s="476"/>
      <c r="D24" s="476"/>
      <c r="E24" s="485">
        <f>-'[1]TB03-31-04(Final)'!G199</f>
        <v>50113.97</v>
      </c>
      <c r="F24" s="476"/>
      <c r="G24" s="613"/>
      <c r="H24" s="342">
        <f>+'[7]Balance Sheet (pg 1)'!$D$37</f>
        <v>34740</v>
      </c>
      <c r="I24" s="620"/>
    </row>
    <row r="25" spans="1:9" ht="15">
      <c r="A25" s="14">
        <v>10</v>
      </c>
      <c r="B25" s="622" t="s">
        <v>45</v>
      </c>
      <c r="C25" s="476"/>
      <c r="D25" s="477"/>
      <c r="E25" s="485">
        <f>-'[1]TB03-31-04(Final)'!G267</f>
        <v>446013</v>
      </c>
      <c r="F25" s="476"/>
      <c r="G25" s="613"/>
      <c r="H25" s="342">
        <f>+'[7]Balance Sheet (pg 1)'!$D$24</f>
        <v>364716</v>
      </c>
      <c r="I25" s="620"/>
    </row>
    <row r="26" spans="1:9" ht="15">
      <c r="A26" s="14">
        <v>14</v>
      </c>
      <c r="B26" s="622" t="s">
        <v>183</v>
      </c>
      <c r="C26" s="476"/>
      <c r="D26" s="477"/>
      <c r="E26" s="485">
        <f>-'[1]TB03-31-04(Final)'!G256</f>
        <v>294617.31</v>
      </c>
      <c r="F26" s="476"/>
      <c r="G26" s="613"/>
      <c r="H26" s="342">
        <f>+'[7]Balance Sheet (pg 1)'!$D$23</f>
        <v>965550.22</v>
      </c>
      <c r="I26" s="620"/>
    </row>
    <row r="27" spans="1:9" ht="15">
      <c r="A27" s="14">
        <v>27</v>
      </c>
      <c r="B27" s="622" t="s">
        <v>465</v>
      </c>
      <c r="C27" s="476"/>
      <c r="D27" s="477"/>
      <c r="E27" s="485">
        <f>-'[1]TB03-31-04(Final)'!G258</f>
        <v>1290906</v>
      </c>
      <c r="F27" s="476"/>
      <c r="G27" s="613"/>
      <c r="H27" s="342">
        <f>+'[7]Balance Sheet (pg 1)'!$D$22</f>
        <v>618846.84</v>
      </c>
      <c r="I27" s="620"/>
    </row>
    <row r="28" spans="1:9" ht="15">
      <c r="A28" s="14">
        <v>27</v>
      </c>
      <c r="B28" s="622" t="s">
        <v>466</v>
      </c>
      <c r="C28" s="476"/>
      <c r="D28" s="477"/>
      <c r="E28" s="484">
        <f>-'[1]TB03-31-04(Final)'!G260</f>
        <v>505030.11</v>
      </c>
      <c r="F28" s="476"/>
      <c r="G28" s="613"/>
      <c r="H28" s="342">
        <v>0</v>
      </c>
      <c r="I28" s="620"/>
    </row>
    <row r="29" spans="2:9" ht="14.25">
      <c r="B29" s="622"/>
      <c r="C29" s="623"/>
      <c r="D29" s="476"/>
      <c r="E29" s="476"/>
      <c r="F29" s="485"/>
      <c r="G29" s="613"/>
      <c r="H29" s="342"/>
      <c r="I29" s="620"/>
    </row>
    <row r="30" spans="2:9" ht="15">
      <c r="B30" s="625" t="s">
        <v>184</v>
      </c>
      <c r="C30" s="476"/>
      <c r="D30" s="476"/>
      <c r="E30" s="476"/>
      <c r="F30" s="486">
        <f>SUM(E20:E28)</f>
        <v>2925382.2399999998</v>
      </c>
      <c r="G30" s="613"/>
      <c r="H30" s="342"/>
      <c r="I30" s="624">
        <f>SUM(H25:H28)</f>
        <v>1949113.06</v>
      </c>
    </row>
    <row r="31" spans="2:9" ht="14.25">
      <c r="B31" s="618"/>
      <c r="C31" s="476"/>
      <c r="D31" s="476"/>
      <c r="E31" s="476"/>
      <c r="F31" s="476"/>
      <c r="G31" s="613"/>
      <c r="H31" s="342"/>
      <c r="I31" s="620"/>
    </row>
    <row r="32" spans="1:9" ht="15">
      <c r="A32" s="14">
        <v>23</v>
      </c>
      <c r="B32" s="621" t="s">
        <v>290</v>
      </c>
      <c r="C32" s="476"/>
      <c r="D32" s="476"/>
      <c r="E32" s="476"/>
      <c r="F32" s="476"/>
      <c r="G32" s="613"/>
      <c r="H32" s="342"/>
      <c r="I32" s="620"/>
    </row>
    <row r="33" spans="1:9" ht="15">
      <c r="A33" s="14">
        <v>9</v>
      </c>
      <c r="B33" s="622" t="s">
        <v>291</v>
      </c>
      <c r="C33" s="476"/>
      <c r="D33" s="477"/>
      <c r="E33" s="485">
        <f>-'[1]TB03-31-04(Final)'!G65</f>
        <v>11049613</v>
      </c>
      <c r="F33" s="476"/>
      <c r="G33" s="613"/>
      <c r="H33" s="342">
        <f>+'[7]Balance Sheet (pg 1)'!$D$31</f>
        <v>8776992</v>
      </c>
      <c r="I33" s="620"/>
    </row>
    <row r="34" spans="1:9" ht="15">
      <c r="A34" s="14">
        <v>114</v>
      </c>
      <c r="B34" s="622" t="s">
        <v>185</v>
      </c>
      <c r="C34" s="476"/>
      <c r="D34" s="477"/>
      <c r="E34" s="485">
        <f>-'[1]TB03-31-04(Final)'!G104</f>
        <v>6198399.7700000005</v>
      </c>
      <c r="F34" s="476"/>
      <c r="G34" s="613"/>
      <c r="H34" s="342">
        <f>+'[7]Balance Sheet (pg 1)'!$D$32</f>
        <v>5068927.600000001</v>
      </c>
      <c r="I34" s="620"/>
    </row>
    <row r="35" spans="1:9" ht="15">
      <c r="A35" s="14">
        <v>114</v>
      </c>
      <c r="B35" s="622" t="s">
        <v>186</v>
      </c>
      <c r="C35" s="476"/>
      <c r="D35" s="477"/>
      <c r="E35" s="485">
        <f>-'[1]TB03-31-04(Final)'!G121</f>
        <v>1364184.0999999999</v>
      </c>
      <c r="F35" s="476"/>
      <c r="G35" s="613"/>
      <c r="H35" s="342">
        <f>+'[7]Balance Sheet (pg 1)'!$D$33</f>
        <v>1302472.2</v>
      </c>
      <c r="I35" s="620"/>
    </row>
    <row r="36" spans="1:9" ht="15">
      <c r="A36" s="14">
        <v>114</v>
      </c>
      <c r="B36" s="622" t="s">
        <v>187</v>
      </c>
      <c r="C36" s="476"/>
      <c r="D36" s="477"/>
      <c r="E36" s="485">
        <f>-'[1]TB03-31-04(Final)'!G159</f>
        <v>524501</v>
      </c>
      <c r="F36" s="476"/>
      <c r="G36" s="613"/>
      <c r="H36" s="342">
        <f>+'[7]Balance Sheet (pg 1)'!$D$34</f>
        <v>394965.17999999993</v>
      </c>
      <c r="I36" s="620"/>
    </row>
    <row r="37" spans="1:9" ht="15">
      <c r="A37" s="14">
        <v>114</v>
      </c>
      <c r="B37" s="622" t="s">
        <v>188</v>
      </c>
      <c r="C37" s="477"/>
      <c r="D37" s="477"/>
      <c r="E37" s="485">
        <f>-'[1]TB03-31-04(Final)'!G193</f>
        <v>226567.97999999998</v>
      </c>
      <c r="F37" s="476"/>
      <c r="G37" s="613"/>
      <c r="H37" s="342">
        <f>+'[7]Balance Sheet (pg 1)'!$D$35</f>
        <v>127127.4</v>
      </c>
      <c r="I37" s="620"/>
    </row>
    <row r="38" spans="1:9" ht="15">
      <c r="A38" s="14">
        <v>5</v>
      </c>
      <c r="B38" s="622" t="s">
        <v>449</v>
      </c>
      <c r="C38" s="476"/>
      <c r="D38" s="477"/>
      <c r="E38" s="512">
        <f>-'[1]TB03-31-04(Final)'!G217</f>
        <v>330321.9</v>
      </c>
      <c r="F38" s="476"/>
      <c r="G38" s="613"/>
      <c r="H38" s="601">
        <f>+'[7]Balance Sheet (pg 1)'!$D$36-H27</f>
        <v>-293990.12999999995</v>
      </c>
      <c r="I38" s="620"/>
    </row>
    <row r="39" spans="2:9" ht="15" customHeight="1">
      <c r="B39" s="622"/>
      <c r="C39" s="476"/>
      <c r="D39" s="476"/>
      <c r="E39" s="485"/>
      <c r="F39" s="476"/>
      <c r="G39" s="613"/>
      <c r="H39" s="342"/>
      <c r="I39" s="620"/>
    </row>
    <row r="40" spans="2:9" ht="15" customHeight="1">
      <c r="B40" s="625" t="s">
        <v>408</v>
      </c>
      <c r="C40" s="476"/>
      <c r="D40" s="476"/>
      <c r="E40" s="477"/>
      <c r="F40" s="486">
        <f>SUM(E33:E38)</f>
        <v>19693587.75</v>
      </c>
      <c r="G40" s="613"/>
      <c r="H40" s="342"/>
      <c r="I40" s="624">
        <f>SUM(H33:H39)</f>
        <v>15376494.25</v>
      </c>
    </row>
    <row r="41" spans="2:9" ht="13.5" customHeight="1">
      <c r="B41" s="625"/>
      <c r="C41" s="476"/>
      <c r="D41" s="476"/>
      <c r="E41" s="477"/>
      <c r="F41" s="479"/>
      <c r="G41" s="613"/>
      <c r="H41" s="342"/>
      <c r="I41" s="620"/>
    </row>
    <row r="42" spans="2:9" ht="13.5" customHeight="1">
      <c r="B42" s="617" t="s">
        <v>293</v>
      </c>
      <c r="C42" s="476"/>
      <c r="D42" s="476"/>
      <c r="E42" s="477"/>
      <c r="F42" s="487">
        <f>F40+F30</f>
        <v>22618969.99</v>
      </c>
      <c r="G42" s="613"/>
      <c r="H42" s="342"/>
      <c r="I42" s="626">
        <f>I40+I30</f>
        <v>17325607.31</v>
      </c>
    </row>
    <row r="43" spans="2:9" ht="15">
      <c r="B43" s="618"/>
      <c r="C43" s="476"/>
      <c r="D43" s="476"/>
      <c r="E43" s="477"/>
      <c r="F43" s="476"/>
      <c r="G43" s="613"/>
      <c r="H43" s="342"/>
      <c r="I43" s="620"/>
    </row>
    <row r="44" spans="2:9" ht="15">
      <c r="B44" s="621" t="s">
        <v>294</v>
      </c>
      <c r="C44" s="476"/>
      <c r="D44" s="476"/>
      <c r="E44" s="477"/>
      <c r="F44" s="476"/>
      <c r="G44" s="613"/>
      <c r="H44" s="342"/>
      <c r="I44" s="620"/>
    </row>
    <row r="45" spans="2:9" ht="15">
      <c r="B45" s="622" t="s">
        <v>164</v>
      </c>
      <c r="C45" s="476"/>
      <c r="D45" s="476"/>
      <c r="E45" s="477"/>
      <c r="F45" s="486" t="e">
        <f>+F17-F42</f>
        <v>#REF!</v>
      </c>
      <c r="G45" s="613"/>
      <c r="H45" s="342"/>
      <c r="I45" s="624">
        <f>+'[7]Balance Sheet (pg 1)'!$E$44</f>
        <v>-8375390.010000002</v>
      </c>
    </row>
    <row r="46" spans="2:9" ht="15">
      <c r="B46" s="618"/>
      <c r="C46" s="477"/>
      <c r="D46" s="477"/>
      <c r="E46" s="477"/>
      <c r="F46" s="476"/>
      <c r="G46" s="613"/>
      <c r="H46" s="342"/>
      <c r="I46" s="620"/>
    </row>
    <row r="47" spans="2:9" ht="15.75" thickBot="1">
      <c r="B47" s="627" t="s">
        <v>295</v>
      </c>
      <c r="C47" s="628"/>
      <c r="D47" s="628"/>
      <c r="E47" s="628"/>
      <c r="F47" s="480" t="e">
        <f>F42+F45</f>
        <v>#REF!</v>
      </c>
      <c r="G47" s="629"/>
      <c r="H47" s="601"/>
      <c r="I47" s="630">
        <f>I42+I45</f>
        <v>8950217.299999997</v>
      </c>
    </row>
    <row r="48" spans="2:7" ht="15" thickTop="1">
      <c r="B48" s="15"/>
      <c r="C48" s="472"/>
      <c r="D48" s="472"/>
      <c r="E48" s="472"/>
      <c r="F48" s="472"/>
      <c r="G48" s="13"/>
    </row>
    <row r="49" spans="2:7" ht="14.25">
      <c r="B49" s="15"/>
      <c r="F49" s="472"/>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2" customWidth="1"/>
    <col min="7" max="7" width="11.7109375" style="0" hidden="1" customWidth="1"/>
    <col min="8" max="8" width="12.57421875" style="0" hidden="1" customWidth="1"/>
    <col min="9" max="9" width="12.28125" style="0" hidden="1" customWidth="1"/>
    <col min="10" max="10" width="14.00390625" style="681" hidden="1" customWidth="1"/>
    <col min="11" max="11" width="15.00390625" style="681" hidden="1" customWidth="1"/>
    <col min="12" max="12" width="13.8515625" style="682" customWidth="1"/>
    <col min="13" max="15" width="9.140625" style="0" hidden="1" customWidth="1"/>
    <col min="16" max="16" width="14.28125" style="0" hidden="1" customWidth="1"/>
    <col min="17" max="17" width="12.28125" style="0" hidden="1" customWidth="1"/>
    <col min="18" max="18" width="13.140625" style="0" customWidth="1"/>
    <col min="19" max="19" width="10.57421875" style="697" customWidth="1"/>
    <col min="20" max="20" width="35.7109375" style="0" customWidth="1"/>
  </cols>
  <sheetData>
    <row r="1" spans="1:20" s="50" customFormat="1" ht="22.5" customHeight="1">
      <c r="A1" s="938" t="s">
        <v>278</v>
      </c>
      <c r="B1" s="938"/>
      <c r="C1" s="938"/>
      <c r="D1" s="938"/>
      <c r="E1" s="938"/>
      <c r="F1" s="938"/>
      <c r="G1" s="938"/>
      <c r="H1" s="938"/>
      <c r="I1" s="938"/>
      <c r="J1" s="938"/>
      <c r="K1" s="938"/>
      <c r="L1" s="938"/>
      <c r="M1" s="938"/>
      <c r="N1" s="938"/>
      <c r="O1" s="938"/>
      <c r="P1" s="938"/>
      <c r="Q1" s="938"/>
      <c r="R1" s="938"/>
      <c r="S1" s="938"/>
      <c r="T1" s="938"/>
    </row>
    <row r="2" ht="7.5" customHeight="1"/>
    <row r="3" spans="1:20" ht="19.5">
      <c r="A3" s="938" t="s">
        <v>145</v>
      </c>
      <c r="B3" s="938"/>
      <c r="C3" s="938"/>
      <c r="D3" s="938"/>
      <c r="E3" s="938"/>
      <c r="F3" s="938"/>
      <c r="G3" s="938"/>
      <c r="H3" s="938"/>
      <c r="I3" s="938"/>
      <c r="J3" s="938"/>
      <c r="K3" s="938"/>
      <c r="L3" s="938"/>
      <c r="M3" s="938"/>
      <c r="N3" s="938"/>
      <c r="O3" s="938"/>
      <c r="P3" s="938"/>
      <c r="Q3" s="938"/>
      <c r="R3" s="938"/>
      <c r="S3" s="938"/>
      <c r="T3" s="938"/>
    </row>
    <row r="4" spans="2:9" ht="8.25" customHeight="1">
      <c r="B4" s="642"/>
      <c r="C4" s="648"/>
      <c r="D4" s="642"/>
      <c r="E4" s="642"/>
      <c r="F4" s="648"/>
      <c r="G4" s="642"/>
      <c r="H4" s="642"/>
      <c r="I4" s="642"/>
    </row>
    <row r="5" spans="1:20" ht="19.5">
      <c r="A5" s="938" t="s">
        <v>36</v>
      </c>
      <c r="B5" s="938"/>
      <c r="C5" s="938"/>
      <c r="D5" s="938"/>
      <c r="E5" s="938"/>
      <c r="F5" s="938"/>
      <c r="G5" s="938"/>
      <c r="H5" s="938"/>
      <c r="I5" s="938"/>
      <c r="J5" s="938"/>
      <c r="K5" s="938"/>
      <c r="L5" s="938"/>
      <c r="M5" s="938"/>
      <c r="N5" s="938"/>
      <c r="O5" s="938"/>
      <c r="P5" s="938"/>
      <c r="Q5" s="938"/>
      <c r="R5" s="938"/>
      <c r="S5" s="938"/>
      <c r="T5" s="938"/>
    </row>
    <row r="6" spans="7:9" ht="12.75">
      <c r="G6" s="934" t="s">
        <v>259</v>
      </c>
      <c r="H6" s="934"/>
      <c r="I6" s="934"/>
    </row>
    <row r="7" spans="4:17" ht="12.75">
      <c r="D7" s="939" t="s">
        <v>162</v>
      </c>
      <c r="E7" s="939"/>
      <c r="F7" s="939"/>
      <c r="J7" s="939" t="s">
        <v>141</v>
      </c>
      <c r="K7" s="939"/>
      <c r="L7" s="939"/>
      <c r="M7" s="939"/>
      <c r="N7" s="939"/>
      <c r="O7" s="939"/>
      <c r="P7" s="939"/>
      <c r="Q7" s="939"/>
    </row>
    <row r="8" spans="4:18" ht="12.75">
      <c r="D8" s="661" t="s">
        <v>190</v>
      </c>
      <c r="E8" s="665" t="s">
        <v>191</v>
      </c>
      <c r="F8" s="939" t="s">
        <v>142</v>
      </c>
      <c r="G8" s="939"/>
      <c r="H8" s="939"/>
      <c r="I8" s="939"/>
      <c r="J8" s="939"/>
      <c r="K8" s="939"/>
      <c r="L8" s="939"/>
      <c r="P8" s="665"/>
      <c r="Q8" s="665"/>
      <c r="R8" s="665" t="s">
        <v>361</v>
      </c>
    </row>
    <row r="9" spans="2:20" ht="13.5" thickBot="1">
      <c r="B9" s="666" t="s">
        <v>38</v>
      </c>
      <c r="C9" s="656"/>
      <c r="D9" s="664" t="s">
        <v>189</v>
      </c>
      <c r="E9" s="666" t="s">
        <v>189</v>
      </c>
      <c r="F9" s="937" t="s">
        <v>33</v>
      </c>
      <c r="G9" s="937" t="s">
        <v>189</v>
      </c>
      <c r="H9" s="937" t="s">
        <v>189</v>
      </c>
      <c r="I9" s="937"/>
      <c r="J9" s="937" t="s">
        <v>189</v>
      </c>
      <c r="K9" s="937" t="s">
        <v>189</v>
      </c>
      <c r="L9" s="666" t="s">
        <v>34</v>
      </c>
      <c r="P9" s="666"/>
      <c r="Q9" s="653"/>
      <c r="R9" s="666" t="s">
        <v>95</v>
      </c>
      <c r="S9" s="692" t="s">
        <v>47</v>
      </c>
      <c r="T9" s="666" t="s">
        <v>48</v>
      </c>
    </row>
    <row r="10" spans="2:19" ht="12.75">
      <c r="B10" s="661"/>
      <c r="I10" s="358"/>
      <c r="S10" s="699"/>
    </row>
    <row r="11" spans="1:19" ht="12.75">
      <c r="A11" t="s">
        <v>345</v>
      </c>
      <c r="B11" s="661" t="s">
        <v>192</v>
      </c>
      <c r="C11" s="658"/>
      <c r="D11" s="659">
        <f>+'[1]TB03-31-04(Final)'!Z578+'[1]TB03-31-04(Final)'!E1004</f>
        <v>4438743.83</v>
      </c>
      <c r="E11" s="659">
        <v>0</v>
      </c>
      <c r="F11" s="742">
        <f>SUM(D11:E11)</f>
        <v>4438743.83</v>
      </c>
      <c r="G11" s="743"/>
      <c r="H11" s="743"/>
      <c r="I11" s="743">
        <f aca="true" t="shared" si="0" ref="I11:I28">SUM(G11:H11)</f>
        <v>0</v>
      </c>
      <c r="J11" s="744">
        <f>+'[6]TB09-30-02(Final)'!$I$511+'[6]TB09-30-02(Final)'!$E$911</f>
        <v>3977400.389999999</v>
      </c>
      <c r="K11" s="744"/>
      <c r="L11" s="742">
        <f>+J11+K11</f>
        <v>3977400.389999999</v>
      </c>
      <c r="M11" s="745"/>
      <c r="N11" s="745"/>
      <c r="O11" s="745"/>
      <c r="P11" s="745"/>
      <c r="Q11" s="745">
        <f>SUM(J11:P11)</f>
        <v>7954800.779999998</v>
      </c>
      <c r="R11" s="724">
        <f>+F11-L11</f>
        <v>461343.4400000009</v>
      </c>
      <c r="S11" s="696">
        <f>R11/L11</f>
        <v>0.11599119896501066</v>
      </c>
    </row>
    <row r="12" spans="2:19" ht="12.75">
      <c r="B12" s="661"/>
      <c r="C12" s="658"/>
      <c r="D12" s="659"/>
      <c r="E12" s="659"/>
      <c r="F12" s="672"/>
      <c r="G12" s="673"/>
      <c r="H12" s="673"/>
      <c r="I12" s="674"/>
      <c r="L12" s="672"/>
      <c r="Q12" s="655"/>
      <c r="R12" s="661"/>
      <c r="S12" s="696"/>
    </row>
    <row r="13" spans="2:19" ht="12.75">
      <c r="B13" s="661" t="s">
        <v>143</v>
      </c>
      <c r="C13" s="658"/>
      <c r="D13" s="659"/>
      <c r="E13" s="659"/>
      <c r="F13" s="672"/>
      <c r="G13" s="673"/>
      <c r="H13" s="673"/>
      <c r="I13" s="674"/>
      <c r="L13" s="672"/>
      <c r="Q13" s="655"/>
      <c r="R13" s="661"/>
      <c r="S13" s="696"/>
    </row>
    <row r="14" spans="2:19" ht="12.75">
      <c r="B14" s="661"/>
      <c r="C14" s="659"/>
      <c r="D14" s="659"/>
      <c r="E14" s="659"/>
      <c r="F14" s="672"/>
      <c r="G14" s="673"/>
      <c r="H14" s="673"/>
      <c r="I14" s="674"/>
      <c r="L14" s="672"/>
      <c r="Q14" s="655">
        <f aca="true" t="shared" si="1" ref="Q14:Q54">SUM(J14:P14)</f>
        <v>0</v>
      </c>
      <c r="R14" s="661"/>
      <c r="S14" s="696"/>
    </row>
    <row r="15" spans="1:20" ht="12.75">
      <c r="A15" t="s">
        <v>346</v>
      </c>
      <c r="B15" s="661" t="s">
        <v>121</v>
      </c>
      <c r="C15" s="658"/>
      <c r="D15" s="659">
        <v>0</v>
      </c>
      <c r="E15" s="659">
        <f>+'[1]TB03-31-04(Final)'!E630</f>
        <v>521247.75000000006</v>
      </c>
      <c r="F15" s="672">
        <f>SUM(D15:E15)</f>
        <v>521247.75000000006</v>
      </c>
      <c r="G15" s="673"/>
      <c r="H15" s="673"/>
      <c r="I15" s="674">
        <f t="shared" si="0"/>
        <v>0</v>
      </c>
      <c r="K15" s="681">
        <f>+'[6]TB09-30-02(Final)'!$E$551</f>
        <v>404349.55000000005</v>
      </c>
      <c r="L15" s="672">
        <f aca="true" t="shared" si="2" ref="L15:L54">+J15+K15</f>
        <v>404349.55000000005</v>
      </c>
      <c r="Q15" s="655">
        <f t="shared" si="1"/>
        <v>808699.1000000001</v>
      </c>
      <c r="R15" s="661">
        <f aca="true" t="shared" si="3" ref="R15:R65">+F15-L15</f>
        <v>116898.20000000001</v>
      </c>
      <c r="S15" s="696">
        <f>R15/L15</f>
        <v>0.2891018427002083</v>
      </c>
      <c r="T15" t="s">
        <v>244</v>
      </c>
    </row>
    <row r="16" spans="2:19" ht="12.75">
      <c r="B16" s="661"/>
      <c r="C16" s="658"/>
      <c r="D16" s="659"/>
      <c r="E16" s="659"/>
      <c r="F16" s="672"/>
      <c r="G16" s="673"/>
      <c r="H16" s="673"/>
      <c r="I16" s="674"/>
      <c r="L16" s="672"/>
      <c r="Q16" s="655">
        <f t="shared" si="1"/>
        <v>0</v>
      </c>
      <c r="R16" s="661"/>
      <c r="S16" s="696"/>
    </row>
    <row r="17" spans="1:19" ht="12.75">
      <c r="A17" t="s">
        <v>347</v>
      </c>
      <c r="B17" s="661" t="s">
        <v>193</v>
      </c>
      <c r="C17" s="658"/>
      <c r="D17" s="659">
        <v>0</v>
      </c>
      <c r="E17" s="659">
        <v>0</v>
      </c>
      <c r="F17" s="672">
        <f>SUM(D17:E17)</f>
        <v>0</v>
      </c>
      <c r="G17" s="673"/>
      <c r="H17" s="673"/>
      <c r="I17" s="674">
        <f t="shared" si="0"/>
        <v>0</v>
      </c>
      <c r="L17" s="672">
        <f t="shared" si="2"/>
        <v>0</v>
      </c>
      <c r="Q17" s="655">
        <f t="shared" si="1"/>
        <v>0</v>
      </c>
      <c r="R17" s="661">
        <f t="shared" si="3"/>
        <v>0</v>
      </c>
      <c r="S17" s="696"/>
    </row>
    <row r="18" spans="2:19" ht="12.75">
      <c r="B18" s="661"/>
      <c r="C18" s="658"/>
      <c r="D18" s="659"/>
      <c r="E18" s="659"/>
      <c r="F18" s="672"/>
      <c r="G18" s="673"/>
      <c r="H18" s="673"/>
      <c r="I18" s="674"/>
      <c r="L18" s="672"/>
      <c r="Q18" s="655">
        <f t="shared" si="1"/>
        <v>0</v>
      </c>
      <c r="R18" s="661"/>
      <c r="S18" s="696"/>
    </row>
    <row r="19" spans="1:19" ht="12.75">
      <c r="A19" t="s">
        <v>348</v>
      </c>
      <c r="B19" s="661" t="s">
        <v>194</v>
      </c>
      <c r="C19" s="658"/>
      <c r="D19" s="659"/>
      <c r="E19" s="659">
        <f>+'[1]TB03-31-04(Final)'!E639</f>
        <v>3506.25</v>
      </c>
      <c r="F19" s="672">
        <f>SUM(D19:E19)</f>
        <v>3506.25</v>
      </c>
      <c r="G19" s="673"/>
      <c r="H19" s="673"/>
      <c r="I19" s="674">
        <f t="shared" si="0"/>
        <v>0</v>
      </c>
      <c r="K19" s="681">
        <f>+'[6]TB09-30-02(Final)'!$E$559</f>
        <v>4125</v>
      </c>
      <c r="L19" s="672">
        <f t="shared" si="2"/>
        <v>4125</v>
      </c>
      <c r="Q19" s="655">
        <f t="shared" si="1"/>
        <v>8250</v>
      </c>
      <c r="R19" s="661">
        <f t="shared" si="3"/>
        <v>-618.75</v>
      </c>
      <c r="S19" s="696">
        <f>R19/L19</f>
        <v>-0.15</v>
      </c>
    </row>
    <row r="21" spans="1:20" ht="12.75">
      <c r="A21" t="s">
        <v>349</v>
      </c>
      <c r="B21" s="661" t="s">
        <v>147</v>
      </c>
      <c r="C21" s="658"/>
      <c r="D21" s="659">
        <v>0</v>
      </c>
      <c r="E21" s="659">
        <v>0</v>
      </c>
      <c r="F21" s="672">
        <f>SUM(D21:E21)</f>
        <v>0</v>
      </c>
      <c r="G21" s="673"/>
      <c r="H21" s="673"/>
      <c r="I21" s="674"/>
      <c r="K21" s="681">
        <f>+'[6]TB09-30-02(Final)'!$E$555</f>
        <v>14250</v>
      </c>
      <c r="L21" s="672">
        <f>+J21+K21</f>
        <v>14250</v>
      </c>
      <c r="Q21" s="655">
        <f>SUM(J21:P21)</f>
        <v>28500</v>
      </c>
      <c r="R21" s="661">
        <f>+F21-L21</f>
        <v>-14250</v>
      </c>
      <c r="S21" s="696">
        <f>R21/L21</f>
        <v>-1</v>
      </c>
      <c r="T21" t="s">
        <v>146</v>
      </c>
    </row>
    <row r="22" spans="2:19" ht="12.75">
      <c r="B22" s="661" t="s">
        <v>148</v>
      </c>
      <c r="C22" s="658"/>
      <c r="D22" s="659"/>
      <c r="E22" s="659"/>
      <c r="F22" s="672">
        <f>SUM(D23:E23)</f>
        <v>93073.73</v>
      </c>
      <c r="G22" s="673"/>
      <c r="H22" s="673"/>
      <c r="I22" s="674">
        <f>SUM(G22:H22)</f>
        <v>0</v>
      </c>
      <c r="K22" s="681">
        <f>'[6]TB09-30-02(Final)'!$E$565</f>
        <v>72119.22</v>
      </c>
      <c r="L22" s="672">
        <f>+J22+K22</f>
        <v>72119.22</v>
      </c>
      <c r="Q22" s="655">
        <f>SUM(J22:P22)</f>
        <v>144238.44</v>
      </c>
      <c r="R22" s="661">
        <f>+F22-L22</f>
        <v>20954.509999999995</v>
      </c>
      <c r="S22" s="696">
        <f>R22/L22</f>
        <v>0.2905537525225591</v>
      </c>
    </row>
    <row r="23" spans="3:5" ht="12.75">
      <c r="C23" s="658"/>
      <c r="D23" s="659">
        <f>+'[1]TB03-31-04(Final)'!D633</f>
        <v>104.64</v>
      </c>
      <c r="E23" s="659">
        <f>+'[1]TB03-31-04(Final)'!E647</f>
        <v>92969.09</v>
      </c>
    </row>
    <row r="24" spans="2:19" ht="12.75">
      <c r="B24" s="661"/>
      <c r="C24" s="658"/>
      <c r="D24" s="659"/>
      <c r="E24" s="659"/>
      <c r="F24" s="672"/>
      <c r="G24" s="673"/>
      <c r="H24" s="673"/>
      <c r="I24" s="674">
        <f t="shared" si="0"/>
        <v>0</v>
      </c>
      <c r="L24" s="672"/>
      <c r="Q24" s="655">
        <f t="shared" si="1"/>
        <v>0</v>
      </c>
      <c r="R24" s="661"/>
      <c r="S24" s="696"/>
    </row>
    <row r="25" spans="1:20" ht="12.75">
      <c r="A25" t="s">
        <v>350</v>
      </c>
      <c r="B25" s="661" t="s">
        <v>54</v>
      </c>
      <c r="C25" s="658">
        <v>542.61</v>
      </c>
      <c r="D25" s="659">
        <f>+'[1]TB03-31-04(Final)'!Z765</f>
        <v>642.87</v>
      </c>
      <c r="E25" s="659">
        <f>+'[1]TB03-31-04(Final)'!Z768</f>
        <v>4352.13</v>
      </c>
      <c r="F25" s="672">
        <f>SUM(D25:E25)</f>
        <v>4995</v>
      </c>
      <c r="G25" s="673"/>
      <c r="H25" s="673"/>
      <c r="I25" s="674">
        <f t="shared" si="0"/>
        <v>0</v>
      </c>
      <c r="J25" s="683">
        <v>-9625.77</v>
      </c>
      <c r="K25" s="681">
        <f>+'[6]TB09-30-02(Final)'!$E$678-J25</f>
        <v>-67442.04</v>
      </c>
      <c r="L25" s="672">
        <f t="shared" si="2"/>
        <v>-77067.81</v>
      </c>
      <c r="Q25" s="655">
        <f t="shared" si="1"/>
        <v>-154135.62</v>
      </c>
      <c r="R25" s="661">
        <f t="shared" si="3"/>
        <v>82062.81</v>
      </c>
      <c r="S25" s="696">
        <f>R25/L25</f>
        <v>-1.0648130522977104</v>
      </c>
      <c r="T25" t="s">
        <v>156</v>
      </c>
    </row>
    <row r="26" spans="2:19" ht="12.75">
      <c r="B26" s="661"/>
      <c r="C26" s="658"/>
      <c r="D26" s="659"/>
      <c r="E26" s="659"/>
      <c r="F26" s="672"/>
      <c r="G26" s="673"/>
      <c r="H26" s="673"/>
      <c r="I26" s="674">
        <f t="shared" si="0"/>
        <v>0</v>
      </c>
      <c r="J26" s="683"/>
      <c r="L26" s="672">
        <f t="shared" si="2"/>
        <v>0</v>
      </c>
      <c r="Q26" s="655">
        <f t="shared" si="1"/>
        <v>0</v>
      </c>
      <c r="R26" s="661">
        <f t="shared" si="3"/>
        <v>0</v>
      </c>
      <c r="S26" s="696"/>
    </row>
    <row r="27" spans="1:19" ht="12.75">
      <c r="A27" t="s">
        <v>351</v>
      </c>
      <c r="B27" s="661" t="s">
        <v>195</v>
      </c>
      <c r="C27" s="658"/>
      <c r="D27" s="659"/>
      <c r="E27" s="659"/>
      <c r="F27" s="672">
        <f>SUM(D27:E27)</f>
        <v>0</v>
      </c>
      <c r="G27" s="673"/>
      <c r="H27" s="673"/>
      <c r="I27" s="674">
        <f t="shared" si="0"/>
        <v>0</v>
      </c>
      <c r="J27" s="683"/>
      <c r="L27" s="672">
        <f t="shared" si="2"/>
        <v>0</v>
      </c>
      <c r="Q27" s="655">
        <f t="shared" si="1"/>
        <v>0</v>
      </c>
      <c r="R27" s="661">
        <f t="shared" si="3"/>
        <v>0</v>
      </c>
      <c r="S27" s="696"/>
    </row>
    <row r="28" spans="2:19" ht="12.75">
      <c r="B28" s="659" t="s">
        <v>196</v>
      </c>
      <c r="C28" s="658">
        <v>52540.85</v>
      </c>
      <c r="D28" s="659">
        <f>+'[1]TB03-31-04(Final)'!D654</f>
        <v>64199.27</v>
      </c>
      <c r="E28" s="659">
        <f>+'[1]TB03-31-04(Final)'!E657-D28</f>
        <v>442443.3300000001</v>
      </c>
      <c r="F28" s="672">
        <f>SUM(D28:E28)</f>
        <v>506642.6000000001</v>
      </c>
      <c r="G28" s="673"/>
      <c r="H28" s="673"/>
      <c r="I28" s="674">
        <f t="shared" si="0"/>
        <v>0</v>
      </c>
      <c r="J28" s="683">
        <f>+'[6]TB09-30-02(Final)'!$D$572</f>
        <v>60915.6</v>
      </c>
      <c r="K28" s="681">
        <f>+'[6]TB09-30-02(Final)'!$E$575-J28</f>
        <v>433011.91</v>
      </c>
      <c r="L28" s="672">
        <f t="shared" si="2"/>
        <v>493927.50999999995</v>
      </c>
      <c r="Q28" s="655">
        <f t="shared" si="1"/>
        <v>987855.0199999999</v>
      </c>
      <c r="R28" s="661">
        <f t="shared" si="3"/>
        <v>12715.090000000142</v>
      </c>
      <c r="S28" s="696">
        <f>R28/L28</f>
        <v>0.025742826108228197</v>
      </c>
    </row>
    <row r="29" spans="2:19" ht="12.75">
      <c r="B29" s="659" t="s">
        <v>197</v>
      </c>
      <c r="C29" s="658">
        <f>3911.93+556.52+147.7-0.79</f>
        <v>4615.36</v>
      </c>
      <c r="D29" s="659">
        <f>+'[1]TB03-31-04(Final)'!Z760</f>
        <v>6232.78</v>
      </c>
      <c r="E29" s="659">
        <f>+'[1]TB03-31-04(Final)'!Z761-D29</f>
        <v>43720.38000000001</v>
      </c>
      <c r="F29" s="672">
        <f>SUM(D29:E29)</f>
        <v>49953.16000000001</v>
      </c>
      <c r="G29" s="673"/>
      <c r="H29" s="673"/>
      <c r="I29" s="674"/>
      <c r="J29" s="683">
        <f>4560.4+633.08+166.63+5.08+7.99</f>
        <v>5373.179999999999</v>
      </c>
      <c r="K29" s="681">
        <f>SUM('[6]TB09-30-02(Final)'!$E$631:$E$670)-J29</f>
        <v>36787.85</v>
      </c>
      <c r="L29" s="672">
        <f t="shared" si="2"/>
        <v>42161.03</v>
      </c>
      <c r="Q29" s="655">
        <f t="shared" si="1"/>
        <v>84322.06</v>
      </c>
      <c r="R29" s="661">
        <f t="shared" si="3"/>
        <v>7792.130000000012</v>
      </c>
      <c r="S29" s="696">
        <f>R29/L29</f>
        <v>0.18481830258890763</v>
      </c>
    </row>
    <row r="30" spans="2:19" ht="12.75">
      <c r="B30" s="661"/>
      <c r="C30" s="658"/>
      <c r="D30" s="659"/>
      <c r="E30" s="659"/>
      <c r="F30" s="672">
        <f>SUM(D30:E30)</f>
        <v>0</v>
      </c>
      <c r="G30" s="673"/>
      <c r="H30" s="673"/>
      <c r="I30" s="674"/>
      <c r="J30" s="683"/>
      <c r="L30" s="672">
        <f t="shared" si="2"/>
        <v>0</v>
      </c>
      <c r="Q30" s="655">
        <f t="shared" si="1"/>
        <v>0</v>
      </c>
      <c r="R30" s="661">
        <f t="shared" si="3"/>
        <v>0</v>
      </c>
      <c r="S30" s="696"/>
    </row>
    <row r="31" spans="1:20" ht="12.75">
      <c r="A31" t="s">
        <v>352</v>
      </c>
      <c r="B31" s="661" t="s">
        <v>452</v>
      </c>
      <c r="C31" s="658">
        <f>248.53+79.86+13823.98+583+3163.07+9266.34</f>
        <v>27164.78</v>
      </c>
      <c r="D31" s="659">
        <f>+'[1]TB03-31-04(Final)'!Z720</f>
        <v>34486.11</v>
      </c>
      <c r="E31" s="659">
        <f>+'[1]TB03-31-04(Final)'!Z721-'[1]TB03-31-04(Final)'!Z720</f>
        <v>244292.7</v>
      </c>
      <c r="F31" s="672">
        <f>SUM(D31:E31)</f>
        <v>278778.81</v>
      </c>
      <c r="G31" s="673"/>
      <c r="H31" s="673"/>
      <c r="I31" s="674"/>
      <c r="J31" s="683">
        <f>253.57+92.43+12124.74+539.42+3593.13+2822.87</f>
        <v>19426.16</v>
      </c>
      <c r="K31" s="681">
        <f>SUM('[6]TB09-30-02(Final)'!$E$581:$E$630)-J31</f>
        <v>140199.27</v>
      </c>
      <c r="L31" s="672">
        <f t="shared" si="2"/>
        <v>159625.43</v>
      </c>
      <c r="Q31" s="655">
        <f t="shared" si="1"/>
        <v>319250.86</v>
      </c>
      <c r="R31" s="661">
        <f t="shared" si="3"/>
        <v>119153.38</v>
      </c>
      <c r="S31" s="696">
        <f>R31/L31</f>
        <v>0.7464561254431704</v>
      </c>
      <c r="T31" s="358">
        <v>137024.19</v>
      </c>
    </row>
    <row r="32" spans="2:20" ht="12.75">
      <c r="B32" s="659" t="s">
        <v>94</v>
      </c>
      <c r="C32" s="658"/>
      <c r="D32" s="659"/>
      <c r="E32" s="659"/>
      <c r="F32" s="672"/>
      <c r="G32" s="673"/>
      <c r="H32" s="673"/>
      <c r="I32" s="674"/>
      <c r="J32" s="683"/>
      <c r="L32" s="672">
        <f t="shared" si="2"/>
        <v>0</v>
      </c>
      <c r="Q32" s="655">
        <f t="shared" si="1"/>
        <v>0</v>
      </c>
      <c r="R32" s="661">
        <f t="shared" si="3"/>
        <v>0</v>
      </c>
      <c r="S32" s="696"/>
      <c r="T32" s="358">
        <v>22601.24</v>
      </c>
    </row>
    <row r="33" spans="2:20" ht="12.75">
      <c r="B33" s="659" t="s">
        <v>93</v>
      </c>
      <c r="C33" s="658"/>
      <c r="D33" s="659"/>
      <c r="E33" s="659"/>
      <c r="F33" s="672"/>
      <c r="G33" s="673"/>
      <c r="H33" s="673"/>
      <c r="I33" s="674"/>
      <c r="J33" s="683"/>
      <c r="L33" s="672">
        <f t="shared" si="2"/>
        <v>0</v>
      </c>
      <c r="Q33" s="655">
        <f t="shared" si="1"/>
        <v>0</v>
      </c>
      <c r="R33" s="661">
        <f t="shared" si="3"/>
        <v>0</v>
      </c>
      <c r="S33" s="696"/>
      <c r="T33" s="358">
        <v>0</v>
      </c>
    </row>
    <row r="34" spans="2:20" ht="12.75">
      <c r="B34" s="661"/>
      <c r="C34" s="658"/>
      <c r="D34" s="659"/>
      <c r="E34" s="659"/>
      <c r="F34" s="672"/>
      <c r="G34" s="673"/>
      <c r="H34" s="673"/>
      <c r="I34" s="674"/>
      <c r="J34" s="683"/>
      <c r="L34" s="672"/>
      <c r="Q34" s="655">
        <f t="shared" si="1"/>
        <v>0</v>
      </c>
      <c r="R34" s="661"/>
      <c r="S34" s="696"/>
      <c r="T34" t="s">
        <v>153</v>
      </c>
    </row>
    <row r="35" spans="1:20" ht="12.75">
      <c r="A35" t="s">
        <v>353</v>
      </c>
      <c r="B35" s="661" t="s">
        <v>171</v>
      </c>
      <c r="C35" s="658"/>
      <c r="D35" s="659">
        <f>+'[1]TB03-31-04(Final)'!Z963</f>
        <v>0</v>
      </c>
      <c r="E35" s="659">
        <f>+'[1]TB03-31-04(Final)'!E966</f>
        <v>0</v>
      </c>
      <c r="F35" s="672">
        <f aca="true" t="shared" si="4" ref="F35:F46">SUM(D35:E35)</f>
        <v>0</v>
      </c>
      <c r="G35" s="673"/>
      <c r="H35" s="673"/>
      <c r="I35" s="674"/>
      <c r="J35" s="683">
        <f>+'[6]TB09-30-02(Final)'!$D$872</f>
        <v>0</v>
      </c>
      <c r="K35" s="681">
        <f>+'[6]TB09-30-02(Final)'!$E$875-J35</f>
        <v>17941</v>
      </c>
      <c r="L35" s="672">
        <f t="shared" si="2"/>
        <v>17941</v>
      </c>
      <c r="Q35" s="655">
        <f t="shared" si="1"/>
        <v>35882</v>
      </c>
      <c r="R35" s="661">
        <f t="shared" si="3"/>
        <v>-17941</v>
      </c>
      <c r="S35" s="696">
        <f>R35/L35</f>
        <v>-1</v>
      </c>
      <c r="T35" t="s">
        <v>157</v>
      </c>
    </row>
    <row r="36" spans="2:19" ht="12.75">
      <c r="B36" s="661"/>
      <c r="C36" s="658"/>
      <c r="D36" s="659"/>
      <c r="E36" s="659"/>
      <c r="F36" s="672">
        <f t="shared" si="4"/>
        <v>0</v>
      </c>
      <c r="G36" s="673"/>
      <c r="H36" s="673"/>
      <c r="I36" s="674"/>
      <c r="J36" s="683"/>
      <c r="L36" s="672">
        <f t="shared" si="2"/>
        <v>0</v>
      </c>
      <c r="Q36" s="655">
        <f t="shared" si="1"/>
        <v>0</v>
      </c>
      <c r="R36" s="661">
        <f t="shared" si="3"/>
        <v>0</v>
      </c>
      <c r="S36" s="696"/>
    </row>
    <row r="37" spans="1:19" ht="12.75">
      <c r="A37" t="s">
        <v>354</v>
      </c>
      <c r="B37" s="661" t="s">
        <v>199</v>
      </c>
      <c r="C37" s="658"/>
      <c r="D37" s="659">
        <v>0</v>
      </c>
      <c r="E37" s="659">
        <v>700</v>
      </c>
      <c r="F37" s="672">
        <f t="shared" si="4"/>
        <v>700</v>
      </c>
      <c r="G37" s="673"/>
      <c r="H37" s="673"/>
      <c r="I37" s="674"/>
      <c r="J37" s="683">
        <v>0</v>
      </c>
      <c r="K37" s="681">
        <f>+'[6]TB09-30-02(Final)'!$E$708-J37</f>
        <v>1300</v>
      </c>
      <c r="L37" s="672">
        <f t="shared" si="2"/>
        <v>1300</v>
      </c>
      <c r="Q37" s="655">
        <f t="shared" si="1"/>
        <v>2600</v>
      </c>
      <c r="R37" s="661">
        <f t="shared" si="3"/>
        <v>-600</v>
      </c>
      <c r="S37" s="696">
        <f>R37/L37</f>
        <v>-0.46153846153846156</v>
      </c>
    </row>
    <row r="38" spans="2:19" ht="12.75">
      <c r="B38" s="661"/>
      <c r="C38" s="658"/>
      <c r="D38" s="659"/>
      <c r="E38" s="659"/>
      <c r="F38" s="672">
        <f t="shared" si="4"/>
        <v>0</v>
      </c>
      <c r="G38" s="673"/>
      <c r="H38" s="673"/>
      <c r="I38" s="674"/>
      <c r="J38" s="683"/>
      <c r="L38" s="672">
        <f t="shared" si="2"/>
        <v>0</v>
      </c>
      <c r="Q38" s="655">
        <f t="shared" si="1"/>
        <v>0</v>
      </c>
      <c r="R38" s="661">
        <f t="shared" si="3"/>
        <v>0</v>
      </c>
      <c r="S38" s="696"/>
    </row>
    <row r="39" spans="1:19" ht="12.75">
      <c r="A39" t="s">
        <v>355</v>
      </c>
      <c r="B39" s="661" t="s">
        <v>200</v>
      </c>
      <c r="C39" s="658">
        <v>1427.25</v>
      </c>
      <c r="D39" s="659">
        <f>+'[1]TB03-31-04(Final)'!Z955</f>
        <v>458.98</v>
      </c>
      <c r="E39" s="659">
        <f>+'[1]TB03-31-04(Final)'!Z958</f>
        <v>1732.87</v>
      </c>
      <c r="F39" s="672">
        <f t="shared" si="4"/>
        <v>2191.85</v>
      </c>
      <c r="G39" s="673"/>
      <c r="H39" s="673"/>
      <c r="I39" s="674"/>
      <c r="J39" s="683">
        <v>330.55</v>
      </c>
      <c r="K39" s="681">
        <f>SUM('[6]TB09-30-02(Final)'!$E$867)-J39</f>
        <v>3342.7299999999996</v>
      </c>
      <c r="L39" s="672">
        <f t="shared" si="2"/>
        <v>3673.2799999999997</v>
      </c>
      <c r="Q39" s="655">
        <f t="shared" si="1"/>
        <v>7346.5599999999995</v>
      </c>
      <c r="R39" s="661">
        <f t="shared" si="3"/>
        <v>-1481.4299999999998</v>
      </c>
      <c r="S39" s="696">
        <f>R39/L39</f>
        <v>-0.4032989589685512</v>
      </c>
    </row>
    <row r="40" spans="2:19" ht="12.75">
      <c r="B40" s="661"/>
      <c r="C40" s="658"/>
      <c r="D40" s="659"/>
      <c r="E40" s="659"/>
      <c r="F40" s="672">
        <f t="shared" si="4"/>
        <v>0</v>
      </c>
      <c r="G40" s="673"/>
      <c r="H40" s="673"/>
      <c r="I40" s="674"/>
      <c r="J40" s="683"/>
      <c r="L40" s="672">
        <f t="shared" si="2"/>
        <v>0</v>
      </c>
      <c r="Q40" s="655">
        <f t="shared" si="1"/>
        <v>0</v>
      </c>
      <c r="R40" s="661">
        <f t="shared" si="3"/>
        <v>0</v>
      </c>
      <c r="S40" s="696"/>
    </row>
    <row r="41" spans="1:19" ht="12.75">
      <c r="A41" t="s">
        <v>356</v>
      </c>
      <c r="B41" s="661" t="s">
        <v>201</v>
      </c>
      <c r="C41" s="658">
        <f>8755.56+916.17+869.2</f>
        <v>10540.93</v>
      </c>
      <c r="D41" s="659">
        <f>+'[1]TB03-31-04(Final)'!Z885+'[1]TB03-31-04(Final)'!Z893+'[1]TB03-31-04(Final)'!Z916</f>
        <v>10203.87</v>
      </c>
      <c r="E41" s="659">
        <f>+'[1]TB03-31-04(Final)'!Z896+'[1]TB03-31-04(Final)'!Z918-D41</f>
        <v>80439.4</v>
      </c>
      <c r="F41" s="672">
        <f t="shared" si="4"/>
        <v>90643.26999999999</v>
      </c>
      <c r="G41" s="673"/>
      <c r="H41" s="673"/>
      <c r="I41" s="674"/>
      <c r="J41" s="683">
        <f>8555.67+1016.99+833.91</f>
        <v>10406.57</v>
      </c>
      <c r="K41" s="681">
        <f>SUM('[6]TB09-30-02(Final)'!$E$798:$E$806)+'[6]TB09-30-02(Final)'!$E$828-J41</f>
        <v>82521.57999999999</v>
      </c>
      <c r="L41" s="672">
        <f t="shared" si="2"/>
        <v>92928.15</v>
      </c>
      <c r="Q41" s="655">
        <f t="shared" si="1"/>
        <v>185856.3</v>
      </c>
      <c r="R41" s="661">
        <f t="shared" si="3"/>
        <v>-2284.8800000000047</v>
      </c>
      <c r="S41" s="696">
        <f>R41/L41</f>
        <v>-0.024587598052904367</v>
      </c>
    </row>
    <row r="42" spans="2:19" ht="12.75">
      <c r="B42" s="661"/>
      <c r="C42" s="658"/>
      <c r="D42" s="659"/>
      <c r="E42" s="659"/>
      <c r="F42" s="672">
        <f t="shared" si="4"/>
        <v>0</v>
      </c>
      <c r="G42" s="673"/>
      <c r="H42" s="673"/>
      <c r="I42" s="674"/>
      <c r="J42" s="683"/>
      <c r="L42" s="672">
        <f t="shared" si="2"/>
        <v>0</v>
      </c>
      <c r="Q42" s="655">
        <f t="shared" si="1"/>
        <v>0</v>
      </c>
      <c r="R42" s="661">
        <f t="shared" si="3"/>
        <v>0</v>
      </c>
      <c r="S42" s="696"/>
    </row>
    <row r="43" spans="1:19" ht="12.75">
      <c r="A43" t="s">
        <v>357</v>
      </c>
      <c r="B43" s="661" t="s">
        <v>210</v>
      </c>
      <c r="C43" s="658">
        <v>1404</v>
      </c>
      <c r="D43" s="659">
        <f>+'[1]TB03-31-04(Final)'!Z879</f>
        <v>1666.56</v>
      </c>
      <c r="E43" s="659">
        <f>+'[1]TB03-31-04(Final)'!Z880-D43</f>
        <v>13585.060000000001</v>
      </c>
      <c r="F43" s="672">
        <f t="shared" si="4"/>
        <v>15251.62</v>
      </c>
      <c r="G43" s="673"/>
      <c r="H43" s="673"/>
      <c r="I43" s="674"/>
      <c r="J43" s="683">
        <v>1418.66</v>
      </c>
      <c r="K43" s="681">
        <f>SUM('[6]TB09-30-02(Final)'!$E$782)+'[6]TB09-30-02(Final)'!$D$789-J43</f>
        <v>11079.07</v>
      </c>
      <c r="L43" s="672">
        <f t="shared" si="2"/>
        <v>12497.73</v>
      </c>
      <c r="Q43" s="655">
        <f t="shared" si="1"/>
        <v>24995.46</v>
      </c>
      <c r="R43" s="661">
        <f t="shared" si="3"/>
        <v>2753.8900000000012</v>
      </c>
      <c r="S43" s="696">
        <f>R43/L43</f>
        <v>0.2203512157807859</v>
      </c>
    </row>
    <row r="44" spans="2:19" ht="12.75">
      <c r="B44" s="661"/>
      <c r="C44" s="658"/>
      <c r="D44" s="659"/>
      <c r="E44" s="659"/>
      <c r="F44" s="672">
        <f t="shared" si="4"/>
        <v>0</v>
      </c>
      <c r="G44" s="673"/>
      <c r="H44" s="673"/>
      <c r="I44" s="674"/>
      <c r="J44" s="683"/>
      <c r="L44" s="672">
        <f t="shared" si="2"/>
        <v>0</v>
      </c>
      <c r="Q44" s="655">
        <f t="shared" si="1"/>
        <v>0</v>
      </c>
      <c r="R44" s="661">
        <f t="shared" si="3"/>
        <v>0</v>
      </c>
      <c r="S44" s="696"/>
    </row>
    <row r="45" spans="1:19" ht="12.75">
      <c r="A45" t="s">
        <v>358</v>
      </c>
      <c r="B45" s="661" t="s">
        <v>53</v>
      </c>
      <c r="C45" s="658">
        <f>1424.49+806+206</f>
        <v>2436.49</v>
      </c>
      <c r="D45" s="659">
        <f>SUM(B46:B48)</f>
        <v>2435.74</v>
      </c>
      <c r="E45" s="659">
        <f>+'[1]TB03-31-04(Final)'!Z863-D45</f>
        <v>19064.65</v>
      </c>
      <c r="F45" s="672">
        <f t="shared" si="4"/>
        <v>21500.39</v>
      </c>
      <c r="G45" s="673"/>
      <c r="H45" s="673"/>
      <c r="I45" s="674"/>
      <c r="J45" s="683">
        <f>1843.4+1541.91+236.81</f>
        <v>3622.1200000000003</v>
      </c>
      <c r="K45" s="681">
        <f>SUM('[6]TB09-30-02(Final)'!$E$742:$E$773)-J45</f>
        <v>25378.04</v>
      </c>
      <c r="L45" s="672">
        <f t="shared" si="2"/>
        <v>29000.16</v>
      </c>
      <c r="Q45" s="655">
        <f t="shared" si="1"/>
        <v>58000.32</v>
      </c>
      <c r="R45" s="661">
        <f t="shared" si="3"/>
        <v>-7499.77</v>
      </c>
      <c r="S45" s="696">
        <f>R45/L45</f>
        <v>-0.2586113317995487</v>
      </c>
    </row>
    <row r="46" spans="2:19" ht="12.75" hidden="1">
      <c r="B46" s="661">
        <v>1424.49</v>
      </c>
      <c r="C46" s="658"/>
      <c r="D46" s="659"/>
      <c r="E46" s="659"/>
      <c r="F46" s="672">
        <f t="shared" si="4"/>
        <v>0</v>
      </c>
      <c r="G46" s="673"/>
      <c r="H46" s="673"/>
      <c r="I46" s="674"/>
      <c r="J46" s="683"/>
      <c r="L46" s="672">
        <f t="shared" si="2"/>
        <v>0</v>
      </c>
      <c r="Q46" s="655">
        <f t="shared" si="1"/>
        <v>0</v>
      </c>
      <c r="R46" s="661">
        <f t="shared" si="3"/>
        <v>0</v>
      </c>
      <c r="S46" s="696" t="e">
        <f>R46/L46</f>
        <v>#DIV/0!</v>
      </c>
    </row>
    <row r="47" spans="2:19" ht="12.75" hidden="1">
      <c r="B47" s="661">
        <v>805.55</v>
      </c>
      <c r="C47" s="658"/>
      <c r="D47" s="659"/>
      <c r="E47" s="659"/>
      <c r="F47" s="672"/>
      <c r="G47" s="673"/>
      <c r="H47" s="673"/>
      <c r="I47" s="674"/>
      <c r="J47" s="683"/>
      <c r="L47" s="672">
        <f t="shared" si="2"/>
        <v>0</v>
      </c>
      <c r="Q47" s="655">
        <f t="shared" si="1"/>
        <v>0</v>
      </c>
      <c r="R47" s="661">
        <f t="shared" si="3"/>
        <v>0</v>
      </c>
      <c r="S47" s="696" t="e">
        <f>R47/L47</f>
        <v>#DIV/0!</v>
      </c>
    </row>
    <row r="48" spans="2:19" ht="12.75" hidden="1">
      <c r="B48" s="661">
        <v>205.7</v>
      </c>
      <c r="C48" s="658"/>
      <c r="D48" s="659"/>
      <c r="E48" s="659"/>
      <c r="F48" s="672"/>
      <c r="G48" s="673"/>
      <c r="H48" s="673"/>
      <c r="I48" s="674"/>
      <c r="J48" s="683"/>
      <c r="L48" s="672">
        <f t="shared" si="2"/>
        <v>0</v>
      </c>
      <c r="Q48" s="655">
        <f t="shared" si="1"/>
        <v>0</v>
      </c>
      <c r="R48" s="661">
        <f t="shared" si="3"/>
        <v>0</v>
      </c>
      <c r="S48" s="696" t="e">
        <f>R48/L48</f>
        <v>#DIV/0!</v>
      </c>
    </row>
    <row r="49" spans="2:19" ht="12.75">
      <c r="B49" s="661"/>
      <c r="C49" s="658"/>
      <c r="D49" s="659"/>
      <c r="E49" s="659"/>
      <c r="F49" s="672"/>
      <c r="G49" s="673"/>
      <c r="H49" s="673"/>
      <c r="I49" s="674"/>
      <c r="J49" s="683"/>
      <c r="L49" s="672">
        <f t="shared" si="2"/>
        <v>0</v>
      </c>
      <c r="Q49" s="655">
        <f t="shared" si="1"/>
        <v>0</v>
      </c>
      <c r="R49" s="661">
        <f t="shared" si="3"/>
        <v>0</v>
      </c>
      <c r="S49" s="696"/>
    </row>
    <row r="50" spans="1:19" ht="12.75">
      <c r="A50" t="s">
        <v>359</v>
      </c>
      <c r="B50" s="661" t="s">
        <v>212</v>
      </c>
      <c r="C50" s="658">
        <f>801.69+675.35</f>
        <v>1477.04</v>
      </c>
      <c r="D50" s="659">
        <f>+'[1]TB03-31-04(Final)'!Z941</f>
        <v>2273.06</v>
      </c>
      <c r="E50" s="659">
        <f>+'[1]TB03-31-04(Final)'!Z942-D50</f>
        <v>23542.219999999998</v>
      </c>
      <c r="F50" s="672">
        <f>SUM(D50:E50)</f>
        <v>25815.28</v>
      </c>
      <c r="G50" s="673"/>
      <c r="H50" s="673"/>
      <c r="I50" s="674"/>
      <c r="J50" s="683">
        <f>263.34+1215.67+5.48</f>
        <v>1484.49</v>
      </c>
      <c r="K50" s="681">
        <f>SUM('[6]TB09-30-02(Final)'!$E$829:$E$860)-J50</f>
        <v>25704.69</v>
      </c>
      <c r="L50" s="672">
        <f t="shared" si="2"/>
        <v>27189.18</v>
      </c>
      <c r="Q50" s="655">
        <f t="shared" si="1"/>
        <v>54378.36</v>
      </c>
      <c r="R50" s="661">
        <f t="shared" si="3"/>
        <v>-1373.9000000000015</v>
      </c>
      <c r="S50" s="696">
        <f>R50/L50</f>
        <v>-0.05053113039819522</v>
      </c>
    </row>
    <row r="51" spans="2:19" ht="12.75">
      <c r="B51" s="661"/>
      <c r="C51" s="658"/>
      <c r="D51" s="659"/>
      <c r="E51" s="659"/>
      <c r="F51" s="672"/>
      <c r="G51" s="673"/>
      <c r="H51" s="673"/>
      <c r="I51" s="674"/>
      <c r="J51" s="683"/>
      <c r="L51" s="672">
        <f t="shared" si="2"/>
        <v>0</v>
      </c>
      <c r="Q51" s="655">
        <f t="shared" si="1"/>
        <v>0</v>
      </c>
      <c r="R51" s="661">
        <f t="shared" si="3"/>
        <v>0</v>
      </c>
      <c r="S51" s="696"/>
    </row>
    <row r="52" spans="1:19" ht="12.75">
      <c r="A52" t="s">
        <v>360</v>
      </c>
      <c r="B52" s="661" t="s">
        <v>202</v>
      </c>
      <c r="C52" s="658">
        <f>4337.84+1156.22</f>
        <v>5494.06</v>
      </c>
      <c r="D52" s="659">
        <f>+'[1]TB03-31-04(Final)'!Z911</f>
        <v>4994.889999999999</v>
      </c>
      <c r="E52" s="659">
        <f>+'[1]TB03-31-04(Final)'!Z912-D52</f>
        <v>35138.3</v>
      </c>
      <c r="F52" s="672">
        <f>SUM(D52:E52)</f>
        <v>40133.19</v>
      </c>
      <c r="G52" s="673"/>
      <c r="H52" s="673"/>
      <c r="I52" s="674"/>
      <c r="J52" s="683">
        <f>3829.73+1090.47</f>
        <v>4920.2</v>
      </c>
      <c r="K52" s="681">
        <f>SUM('[6]TB09-30-02(Final)'!$E$814:$E$823)-J52</f>
        <v>42403.07000000001</v>
      </c>
      <c r="L52" s="672">
        <f t="shared" si="2"/>
        <v>47323.270000000004</v>
      </c>
      <c r="Q52" s="655">
        <f t="shared" si="1"/>
        <v>94646.54000000001</v>
      </c>
      <c r="R52" s="661">
        <f t="shared" si="3"/>
        <v>-7190.080000000002</v>
      </c>
      <c r="S52" s="696">
        <f>R52/L52</f>
        <v>-0.15193540091375768</v>
      </c>
    </row>
    <row r="53" spans="2:19" ht="12.75">
      <c r="B53" s="661"/>
      <c r="C53" s="658"/>
      <c r="D53" s="659"/>
      <c r="E53" s="659"/>
      <c r="F53" s="672"/>
      <c r="G53" s="673"/>
      <c r="H53" s="673"/>
      <c r="I53" s="674"/>
      <c r="J53" s="683"/>
      <c r="L53" s="672">
        <f t="shared" si="2"/>
        <v>0</v>
      </c>
      <c r="Q53" s="655">
        <f t="shared" si="1"/>
        <v>0</v>
      </c>
      <c r="R53" s="661">
        <f t="shared" si="3"/>
        <v>0</v>
      </c>
      <c r="S53" s="696"/>
    </row>
    <row r="54" spans="1:20" ht="12.75">
      <c r="A54" t="s">
        <v>133</v>
      </c>
      <c r="B54" s="661" t="s">
        <v>55</v>
      </c>
      <c r="C54" s="658">
        <v>767.76</v>
      </c>
      <c r="D54" s="659">
        <f>+'[1]TB03-31-04(Final)'!Z781</f>
        <v>399.46</v>
      </c>
      <c r="E54" s="659">
        <f>+'[1]TB03-31-04(Final)'!Z784-D54</f>
        <v>17859.89</v>
      </c>
      <c r="F54" s="672">
        <f>SUM(D54:E54)</f>
        <v>18259.35</v>
      </c>
      <c r="G54" s="673"/>
      <c r="H54" s="673"/>
      <c r="I54" s="674"/>
      <c r="J54" s="683">
        <f>936.75+468.71+149.88</f>
        <v>1555.3400000000001</v>
      </c>
      <c r="K54" s="681">
        <f>SUM('[6]TB09-30-02(Final)'!$E$686:$E$703)-J54</f>
        <v>10897.34</v>
      </c>
      <c r="L54" s="672">
        <f t="shared" si="2"/>
        <v>12452.68</v>
      </c>
      <c r="Q54" s="655">
        <f t="shared" si="1"/>
        <v>24905.36</v>
      </c>
      <c r="R54" s="661">
        <f t="shared" si="3"/>
        <v>5806.669999999998</v>
      </c>
      <c r="S54" s="696">
        <f>R54/L54</f>
        <v>0.4662988208160812</v>
      </c>
      <c r="T54" t="s">
        <v>158</v>
      </c>
    </row>
    <row r="55" spans="2:19" ht="12.75">
      <c r="B55" s="645"/>
      <c r="C55" s="658"/>
      <c r="D55" s="646"/>
      <c r="E55" s="646"/>
      <c r="G55" s="646"/>
      <c r="H55" s="646"/>
      <c r="I55" s="358"/>
      <c r="R55" s="682"/>
      <c r="S55" s="701"/>
    </row>
    <row r="56" spans="2:19" ht="12.75">
      <c r="B56" s="645"/>
      <c r="C56" s="658"/>
      <c r="D56" s="646"/>
      <c r="E56" s="646"/>
      <c r="F56" s="654"/>
      <c r="G56" s="650"/>
      <c r="H56" s="650"/>
      <c r="I56" s="678"/>
      <c r="J56" s="708"/>
      <c r="K56" s="684"/>
      <c r="L56" s="741"/>
      <c r="M56" s="680"/>
      <c r="N56" s="680"/>
      <c r="O56" s="680"/>
      <c r="P56" s="680"/>
      <c r="Q56" s="680"/>
      <c r="R56" s="741"/>
      <c r="S56" s="702"/>
    </row>
    <row r="57" spans="2:19" ht="12.75">
      <c r="B57" s="59" t="s">
        <v>152</v>
      </c>
      <c r="C57" s="651"/>
      <c r="D57" s="650"/>
      <c r="E57" s="650"/>
      <c r="F57" s="693">
        <f>SUM(F15:F56)</f>
        <v>1672692.2500000002</v>
      </c>
      <c r="G57" s="739"/>
      <c r="H57" s="739"/>
      <c r="I57" s="739"/>
      <c r="J57" s="685"/>
      <c r="K57" s="740"/>
      <c r="L57" s="693">
        <f>SUM(L15:L56)</f>
        <v>1357795.3799999997</v>
      </c>
      <c r="M57" s="739"/>
      <c r="N57" s="739"/>
      <c r="O57" s="739"/>
      <c r="P57" s="739"/>
      <c r="Q57" s="739"/>
      <c r="R57" s="693">
        <f>+F57-L57</f>
        <v>314896.8700000006</v>
      </c>
      <c r="S57" s="696">
        <f>R57/L57</f>
        <v>0.23191776510537299</v>
      </c>
    </row>
    <row r="58" spans="1:19" s="643" customFormat="1" ht="12.75">
      <c r="A58" s="731" t="s">
        <v>134</v>
      </c>
      <c r="B58" s="732" t="s">
        <v>144</v>
      </c>
      <c r="C58" s="733">
        <f>SUM(C25:C57)</f>
        <v>108411.12999999999</v>
      </c>
      <c r="D58" s="733">
        <f>SUM(D11:D57)-1</f>
        <v>4566841.06</v>
      </c>
      <c r="E58" s="733">
        <f>SUM(E11:E54)</f>
        <v>1544594.02</v>
      </c>
      <c r="F58" s="733">
        <f>SUM(F11:F55)</f>
        <v>6111436.079999999</v>
      </c>
      <c r="G58" s="734"/>
      <c r="H58" s="734"/>
      <c r="I58" s="735"/>
      <c r="J58" s="736">
        <f>SUM(J11:J57)</f>
        <v>4077227.4899999998</v>
      </c>
      <c r="K58" s="737">
        <f>SUM(K10:K57)</f>
        <v>1257968.2800000003</v>
      </c>
      <c r="L58" s="733">
        <f>SUM(L10:L55)</f>
        <v>5335195.77</v>
      </c>
      <c r="M58" s="731"/>
      <c r="N58" s="731"/>
      <c r="O58" s="731"/>
      <c r="P58" s="731"/>
      <c r="Q58" s="731"/>
      <c r="R58" s="733">
        <f>+F58-L58</f>
        <v>776240.3099999996</v>
      </c>
      <c r="S58" s="738">
        <f>R58/L58</f>
        <v>0.14549425053244103</v>
      </c>
    </row>
    <row r="59" spans="1:20" ht="12.75">
      <c r="A59" t="s">
        <v>135</v>
      </c>
      <c r="B59" s="661" t="s">
        <v>203</v>
      </c>
      <c r="C59" s="659"/>
      <c r="D59" s="672"/>
      <c r="E59" s="672">
        <f>+'[1]TB03-31-04(Final)'!E644</f>
        <v>22313.94</v>
      </c>
      <c r="F59" s="672">
        <f>SUM(D59:E59)</f>
        <v>22313.94</v>
      </c>
      <c r="G59" s="673"/>
      <c r="H59" s="673"/>
      <c r="I59" s="674"/>
      <c r="K59" s="681">
        <f>SUM('[6]TB09-30-02(Final)'!$E$562)-J59</f>
        <v>11580</v>
      </c>
      <c r="L59" s="672">
        <f>SUM(J59:K59)</f>
        <v>11580</v>
      </c>
      <c r="R59" s="661">
        <f t="shared" si="3"/>
        <v>10733.939999999999</v>
      </c>
      <c r="S59" s="696">
        <f>R59/L59</f>
        <v>0.9269378238341968</v>
      </c>
      <c r="T59" t="s">
        <v>155</v>
      </c>
    </row>
    <row r="60" spans="2:19" ht="12.75">
      <c r="B60" s="644"/>
      <c r="C60" s="659"/>
      <c r="D60" s="673"/>
      <c r="E60" s="673"/>
      <c r="F60" s="675"/>
      <c r="G60" s="673"/>
      <c r="H60" s="673"/>
      <c r="I60" s="674"/>
      <c r="J60" s="681" t="s">
        <v>120</v>
      </c>
      <c r="L60" s="703"/>
      <c r="R60" s="652">
        <f t="shared" si="3"/>
        <v>0</v>
      </c>
      <c r="S60" s="699"/>
    </row>
    <row r="61" spans="1:19" ht="12.75">
      <c r="A61" t="s">
        <v>136</v>
      </c>
      <c r="B61" s="59" t="s">
        <v>204</v>
      </c>
      <c r="C61" s="662"/>
      <c r="D61" s="673"/>
      <c r="E61" s="673"/>
      <c r="F61" s="703"/>
      <c r="G61" s="704"/>
      <c r="H61" s="704"/>
      <c r="I61" s="705"/>
      <c r="L61" s="703"/>
      <c r="R61" s="652">
        <f t="shared" si="3"/>
        <v>0</v>
      </c>
      <c r="S61" s="699"/>
    </row>
    <row r="62" spans="2:19" ht="12.75">
      <c r="B62" s="659" t="s">
        <v>205</v>
      </c>
      <c r="C62" s="659"/>
      <c r="D62" s="674">
        <f>+'[1]TB03-31-04(Final)'!Z790</f>
        <v>289.58</v>
      </c>
      <c r="E62" s="675">
        <v>0</v>
      </c>
      <c r="F62" s="703">
        <f>SUM(D62:E62)</f>
        <v>289.58</v>
      </c>
      <c r="G62" s="704"/>
      <c r="H62" s="704"/>
      <c r="I62" s="705"/>
      <c r="L62" s="703"/>
      <c r="R62" s="652">
        <f t="shared" si="3"/>
        <v>289.58</v>
      </c>
      <c r="S62" s="699"/>
    </row>
    <row r="63" spans="2:19" ht="12.75">
      <c r="B63" s="659" t="s">
        <v>206</v>
      </c>
      <c r="C63" s="659"/>
      <c r="D63" s="674" t="e">
        <f>+'[1]TB03-31-04(Final)'!D991</f>
        <v>#REF!</v>
      </c>
      <c r="E63" s="674">
        <f>+'[1]TB03-31-04(Final)'!E994</f>
        <v>0</v>
      </c>
      <c r="F63" s="703" t="e">
        <f>SUM(D63:E63)</f>
        <v>#REF!</v>
      </c>
      <c r="G63" s="704"/>
      <c r="H63" s="704"/>
      <c r="I63" s="705"/>
      <c r="L63" s="703"/>
      <c r="R63" s="652" t="e">
        <f t="shared" si="3"/>
        <v>#REF!</v>
      </c>
      <c r="S63" s="699"/>
    </row>
    <row r="64" spans="2:20" ht="12.75">
      <c r="B64" s="659" t="s">
        <v>211</v>
      </c>
      <c r="C64" s="660">
        <f>209.55+403.86+1554.27</f>
        <v>2167.6800000000003</v>
      </c>
      <c r="D64" s="672">
        <f>+'[1]TB03-31-04(Final)'!Z830</f>
        <v>6929.51</v>
      </c>
      <c r="E64" s="672">
        <f>+'[1]TB03-31-04(Final)'!Z831-D64</f>
        <v>20592.989999999998</v>
      </c>
      <c r="F64" s="672">
        <f>SUM(D64:E64)</f>
        <v>27522.5</v>
      </c>
      <c r="G64" s="673"/>
      <c r="H64" s="673"/>
      <c r="I64" s="674"/>
      <c r="J64" s="681">
        <f>-475.32+120-425.35</f>
        <v>-780.6700000000001</v>
      </c>
      <c r="K64" s="681">
        <f>SUM('[6]TB09-30-02(Final)'!$E$710:$E$741)-J64</f>
        <v>1693.6599999999994</v>
      </c>
      <c r="L64" s="672">
        <f>SUM(J64:K64)</f>
        <v>912.9899999999993</v>
      </c>
      <c r="R64" s="661">
        <f t="shared" si="3"/>
        <v>26609.510000000002</v>
      </c>
      <c r="S64" s="696">
        <f>R64/L64</f>
        <v>29.145456138621476</v>
      </c>
      <c r="T64" t="s">
        <v>154</v>
      </c>
    </row>
    <row r="65" spans="2:19" ht="12.75">
      <c r="B65" s="659" t="s">
        <v>256</v>
      </c>
      <c r="C65" s="663">
        <f>712.12-2.22-102</f>
        <v>607.9</v>
      </c>
      <c r="D65" s="676">
        <f>+'[1]TB03-31-04(Final)'!Z1001-102</f>
        <v>700.17</v>
      </c>
      <c r="E65" s="676">
        <f>+'[1]TB03-31-04(Final)'!Z1003+102</f>
        <v>13523.92</v>
      </c>
      <c r="F65" s="676">
        <f>SUM(D65:E65)</f>
        <v>14224.09</v>
      </c>
      <c r="G65" s="673"/>
      <c r="H65" s="673"/>
      <c r="I65" s="674"/>
      <c r="J65" s="684">
        <f>913.62+176.46+56.22</f>
        <v>1146.3</v>
      </c>
      <c r="K65" s="684">
        <f>(7314.87-2304.97)-J65</f>
        <v>3863.5999999999995</v>
      </c>
      <c r="L65" s="676">
        <f>SUM(J65:K65)</f>
        <v>5009.9</v>
      </c>
      <c r="R65" s="668">
        <f t="shared" si="3"/>
        <v>9214.19</v>
      </c>
      <c r="S65" s="700">
        <f>R65/L65</f>
        <v>1.839196391145532</v>
      </c>
    </row>
    <row r="66" spans="2:19" ht="13.5" thickBot="1">
      <c r="B66" s="59" t="s">
        <v>149</v>
      </c>
      <c r="C66" s="717"/>
      <c r="D66" s="661"/>
      <c r="E66" s="661"/>
      <c r="F66" s="718">
        <f>+F57+F59+F64+F65</f>
        <v>1736752.7800000003</v>
      </c>
      <c r="G66" s="719"/>
      <c r="H66" s="719"/>
      <c r="I66" s="720"/>
      <c r="J66" s="721"/>
      <c r="K66" s="721"/>
      <c r="L66" s="718">
        <f>+L57+L59+L64+L65</f>
        <v>1375298.2699999996</v>
      </c>
      <c r="M66" s="710"/>
      <c r="N66" s="710"/>
      <c r="O66" s="710"/>
      <c r="P66" s="710"/>
      <c r="Q66" s="710"/>
      <c r="R66" s="711"/>
      <c r="S66" s="712"/>
    </row>
    <row r="67" spans="2:19" ht="13.5" thickTop="1">
      <c r="B67" s="74" t="s">
        <v>151</v>
      </c>
      <c r="C67" s="679"/>
      <c r="D67" s="672"/>
      <c r="E67" s="672"/>
      <c r="F67" s="672">
        <v>-111187.2</v>
      </c>
      <c r="G67" s="713"/>
      <c r="H67" s="713"/>
      <c r="I67" s="714"/>
      <c r="J67" s="686"/>
      <c r="K67" s="686"/>
      <c r="L67" s="672">
        <v>-100193</v>
      </c>
      <c r="M67" s="715"/>
      <c r="N67" s="715"/>
      <c r="O67" s="715"/>
      <c r="P67" s="715"/>
      <c r="Q67" s="715"/>
      <c r="R67" s="691"/>
      <c r="S67" s="716"/>
    </row>
    <row r="68" spans="2:19" s="722" customFormat="1" ht="13.5" thickBot="1">
      <c r="B68" s="59" t="s">
        <v>150</v>
      </c>
      <c r="C68" s="717"/>
      <c r="D68" s="661"/>
      <c r="E68" s="661"/>
      <c r="F68" s="727">
        <f>+F66+F67</f>
        <v>1625565.5800000003</v>
      </c>
      <c r="G68" s="728"/>
      <c r="H68" s="728"/>
      <c r="I68" s="728"/>
      <c r="J68" s="729"/>
      <c r="K68" s="729"/>
      <c r="L68" s="727">
        <f>+L66+L67</f>
        <v>1275105.2699999996</v>
      </c>
      <c r="M68" s="723"/>
      <c r="N68" s="723"/>
      <c r="O68" s="723"/>
      <c r="P68" s="723"/>
      <c r="Q68" s="723"/>
      <c r="R68" s="727">
        <f>+F68-L68</f>
        <v>350460.31000000075</v>
      </c>
      <c r="S68" s="730">
        <f>R68/L68</f>
        <v>0.2748481386168225</v>
      </c>
    </row>
    <row r="69" spans="2:19" s="722" customFormat="1" ht="12.75">
      <c r="B69" s="59"/>
      <c r="C69" s="717"/>
      <c r="D69" s="661"/>
      <c r="E69" s="661"/>
      <c r="F69" s="724"/>
      <c r="G69" s="725"/>
      <c r="H69" s="725"/>
      <c r="I69" s="725"/>
      <c r="J69" s="726"/>
      <c r="K69" s="726"/>
      <c r="L69" s="724"/>
      <c r="M69" s="723"/>
      <c r="N69" s="723"/>
      <c r="O69" s="723"/>
      <c r="P69" s="723"/>
      <c r="Q69" s="723"/>
      <c r="R69" s="691"/>
      <c r="S69" s="716"/>
    </row>
    <row r="70" spans="1:19" s="643" customFormat="1" ht="12.75">
      <c r="A70" s="643" t="s">
        <v>137</v>
      </c>
      <c r="B70" s="59" t="s">
        <v>207</v>
      </c>
      <c r="C70" s="661">
        <f>+C58+C64+C65</f>
        <v>111186.70999999999</v>
      </c>
      <c r="D70" s="649" t="e">
        <f>SUM(D58:D65)+1</f>
        <v>#REF!</v>
      </c>
      <c r="E70" s="649">
        <f>SUM(E58:E65)</f>
        <v>1601024.8699999999</v>
      </c>
      <c r="F70" s="649" t="e">
        <f>SUM(F58:F65)</f>
        <v>#REF!</v>
      </c>
      <c r="G70" s="647"/>
      <c r="H70" s="647"/>
      <c r="I70" s="677"/>
      <c r="J70" s="687">
        <f>SUM(J58:J65)</f>
        <v>4077593.1199999996</v>
      </c>
      <c r="K70" s="685">
        <f>SUM(K58:K65)</f>
        <v>1275105.5400000003</v>
      </c>
      <c r="L70" s="649">
        <f>SUM(L58:L65)</f>
        <v>5352698.66</v>
      </c>
      <c r="S70" s="698"/>
    </row>
    <row r="71" spans="2:18" ht="12.75">
      <c r="B71" s="667" t="s">
        <v>57</v>
      </c>
      <c r="C71" s="362">
        <v>111187</v>
      </c>
      <c r="D71" s="668">
        <v>3400757</v>
      </c>
      <c r="E71" s="668">
        <v>1600894</v>
      </c>
      <c r="F71" s="668">
        <v>5001652</v>
      </c>
      <c r="G71" s="650"/>
      <c r="H71" s="650"/>
      <c r="I71" s="678"/>
      <c r="J71" s="686">
        <v>4077593</v>
      </c>
      <c r="K71" s="681">
        <f>1263526+11580</f>
        <v>1275106</v>
      </c>
      <c r="L71" s="668">
        <f>SUM(J71:K71)</f>
        <v>5352699</v>
      </c>
      <c r="R71" s="694"/>
    </row>
    <row r="72" spans="2:19" ht="13.5" thickBot="1">
      <c r="B72" s="709" t="s">
        <v>59</v>
      </c>
      <c r="C72" s="362">
        <f>+C70-C71</f>
        <v>-0.2900000000081491</v>
      </c>
      <c r="D72" s="669" t="e">
        <f>+D70-D71</f>
        <v>#REF!</v>
      </c>
      <c r="E72" s="669">
        <f>+E70-E71</f>
        <v>130.86999999987893</v>
      </c>
      <c r="F72" s="669" t="e">
        <f>+F70-F71</f>
        <v>#REF!</v>
      </c>
      <c r="G72" s="646"/>
      <c r="H72" s="646"/>
      <c r="I72" s="646"/>
      <c r="J72" s="688">
        <f>+J70-J71</f>
        <v>0.11999999964609742</v>
      </c>
      <c r="K72" s="688">
        <f>+K70-K71</f>
        <v>-0.45999999972991645</v>
      </c>
      <c r="L72" s="669">
        <f>+L70-L71</f>
        <v>-0.3399999998509884</v>
      </c>
      <c r="R72" s="695"/>
      <c r="S72" s="706"/>
    </row>
    <row r="73" spans="1:18" ht="13.5" thickTop="1">
      <c r="A73" t="s">
        <v>138</v>
      </c>
      <c r="B73" s="661" t="s">
        <v>208</v>
      </c>
      <c r="D73" s="661">
        <v>0</v>
      </c>
      <c r="E73" s="661">
        <v>305438</v>
      </c>
      <c r="F73" s="661">
        <f>SUM(D73:E73)</f>
        <v>305438</v>
      </c>
      <c r="G73" s="646"/>
      <c r="H73" s="646"/>
      <c r="I73" s="646"/>
      <c r="K73" s="681">
        <v>287179</v>
      </c>
      <c r="L73" s="661">
        <f>SUM(J73:K73)</f>
        <v>287179</v>
      </c>
      <c r="R73" s="643"/>
    </row>
    <row r="74" spans="1:18" ht="12.75">
      <c r="A74" t="s">
        <v>139</v>
      </c>
      <c r="B74" s="661" t="s">
        <v>56</v>
      </c>
      <c r="C74" s="651"/>
      <c r="D74" s="668">
        <v>0</v>
      </c>
      <c r="E74" s="668">
        <v>309881</v>
      </c>
      <c r="F74" s="668">
        <f>SUM(D74:E74)</f>
        <v>309881</v>
      </c>
      <c r="G74" s="646"/>
      <c r="H74" s="646"/>
      <c r="I74" s="646"/>
      <c r="J74" s="684"/>
      <c r="K74" s="681">
        <v>453634</v>
      </c>
      <c r="L74" s="668">
        <f>SUM(J74:K74)</f>
        <v>453634</v>
      </c>
      <c r="R74" s="643"/>
    </row>
    <row r="75" spans="2:19" ht="12.75">
      <c r="B75" s="661" t="s">
        <v>58</v>
      </c>
      <c r="D75" s="358">
        <f>+D73-D74</f>
        <v>0</v>
      </c>
      <c r="E75" s="661">
        <f>-E73+E74</f>
        <v>4443</v>
      </c>
      <c r="F75" s="661">
        <f>-F73+F74</f>
        <v>4443</v>
      </c>
      <c r="G75" s="646"/>
      <c r="H75" s="646"/>
      <c r="I75" s="646"/>
      <c r="J75" s="681">
        <f>SUM(J73:J74)</f>
        <v>0</v>
      </c>
      <c r="K75" s="689">
        <f>-K73+K74</f>
        <v>166455</v>
      </c>
      <c r="L75" s="661">
        <f>SUM(J75:K75)</f>
        <v>166455</v>
      </c>
      <c r="R75" s="690"/>
      <c r="S75" s="707"/>
    </row>
    <row r="76" spans="1:19" ht="13.5" thickBot="1">
      <c r="A76" t="s">
        <v>140</v>
      </c>
      <c r="B76" s="59" t="s">
        <v>209</v>
      </c>
      <c r="C76" s="657">
        <f>+C70-C73+C74</f>
        <v>111186.70999999999</v>
      </c>
      <c r="D76" s="657" t="e">
        <f>+D70-D73+D74</f>
        <v>#REF!</v>
      </c>
      <c r="E76" s="657">
        <f>+E70-E73+E74</f>
        <v>1605467.8699999999</v>
      </c>
      <c r="F76" s="746">
        <f>+F71+F75</f>
        <v>5006095</v>
      </c>
      <c r="G76" s="747"/>
      <c r="H76" s="747"/>
      <c r="I76" s="747"/>
      <c r="J76" s="748">
        <f>+J70-J73+J74</f>
        <v>4077593.1199999996</v>
      </c>
      <c r="K76" s="748">
        <f>+K70-K73+K74</f>
        <v>1441560.5400000003</v>
      </c>
      <c r="L76" s="746">
        <f>+L70-L73+L74</f>
        <v>5519153.66</v>
      </c>
      <c r="R76" s="695"/>
      <c r="S76" s="706"/>
    </row>
    <row r="77" spans="2:18" ht="13.5" thickTop="1">
      <c r="B77" s="667"/>
      <c r="E77" s="646">
        <v>1600894</v>
      </c>
      <c r="F77" s="652" t="e">
        <f>+F70-F73+F74</f>
        <v>#REF!</v>
      </c>
      <c r="J77" s="683"/>
      <c r="K77" s="681">
        <v>1263526</v>
      </c>
      <c r="L77" s="652">
        <f>+L70-L73+L74</f>
        <v>5519153.66</v>
      </c>
      <c r="R77" s="643"/>
    </row>
    <row r="78" spans="5:12" ht="12.75">
      <c r="E78" s="671">
        <f>+E76-E77</f>
        <v>4573.869999999879</v>
      </c>
      <c r="L78" s="652"/>
    </row>
    <row r="79" spans="2:11" ht="12.75">
      <c r="B79" s="667"/>
      <c r="E79" s="358"/>
      <c r="K79" s="681">
        <f>+K75-K78</f>
        <v>166455</v>
      </c>
    </row>
    <row r="80" ht="12.75">
      <c r="E80" s="671"/>
    </row>
    <row r="81" ht="12.75">
      <c r="E81" s="358"/>
    </row>
    <row r="82" spans="2:5" ht="12.75">
      <c r="B82" s="667"/>
      <c r="E82" s="671"/>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35" t="s">
        <v>278</v>
      </c>
      <c r="B1" s="935"/>
      <c r="C1" s="935"/>
      <c r="D1" s="935"/>
      <c r="E1" s="935"/>
      <c r="F1" s="935"/>
      <c r="G1" s="935"/>
      <c r="H1" s="241"/>
    </row>
    <row r="2" spans="1:8" s="27" customFormat="1" ht="18.75">
      <c r="A2" s="936"/>
      <c r="B2" s="936"/>
      <c r="C2" s="936"/>
      <c r="D2" s="936"/>
      <c r="E2" s="936"/>
      <c r="F2" s="936"/>
      <c r="G2" s="936"/>
      <c r="H2" s="1"/>
    </row>
    <row r="3" spans="1:8" s="29" customFormat="1" ht="18.75">
      <c r="A3" s="957" t="s">
        <v>311</v>
      </c>
      <c r="B3" s="957"/>
      <c r="C3" s="957"/>
      <c r="D3" s="957"/>
      <c r="E3" s="957"/>
      <c r="F3" s="957"/>
      <c r="G3" s="957"/>
      <c r="H3" s="28"/>
    </row>
    <row r="4" spans="1:8" s="29" customFormat="1" ht="18.75">
      <c r="A4" s="957" t="s">
        <v>39</v>
      </c>
      <c r="B4" s="957"/>
      <c r="C4" s="957"/>
      <c r="D4" s="957"/>
      <c r="E4" s="957"/>
      <c r="F4" s="957"/>
      <c r="G4" s="957"/>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70</v>
      </c>
      <c r="C7" s="392" t="s">
        <v>74</v>
      </c>
      <c r="D7" s="392" t="s">
        <v>170</v>
      </c>
      <c r="E7" s="392" t="s">
        <v>240</v>
      </c>
      <c r="F7" s="392" t="s">
        <v>125</v>
      </c>
      <c r="G7" s="392" t="s">
        <v>279</v>
      </c>
      <c r="H7" s="382"/>
      <c r="I7" s="32" t="s">
        <v>159</v>
      </c>
    </row>
    <row r="8" spans="1:8" s="34" customFormat="1" ht="12.75">
      <c r="A8" s="393" t="s">
        <v>313</v>
      </c>
      <c r="B8" s="394"/>
      <c r="C8" s="394"/>
      <c r="D8" s="394"/>
      <c r="E8" s="394"/>
      <c r="F8" s="394"/>
      <c r="G8" s="395"/>
      <c r="H8" s="33"/>
    </row>
    <row r="9" spans="1:9" ht="12.75">
      <c r="A9" s="396" t="s">
        <v>314</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315</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316</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317</v>
      </c>
      <c r="B13" s="501"/>
      <c r="C13" s="501"/>
      <c r="D13" s="501"/>
      <c r="E13" s="501"/>
      <c r="F13" s="501"/>
      <c r="G13" s="494"/>
      <c r="H13" s="37"/>
    </row>
    <row r="14" spans="1:10" ht="12.75">
      <c r="A14" s="354" t="s">
        <v>318</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319</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320</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321</v>
      </c>
      <c r="B17" s="494">
        <f>+'[1]TB03-31-04(Final)'!G635</f>
        <v>12016.59</v>
      </c>
      <c r="C17" s="494">
        <v>0</v>
      </c>
      <c r="D17" s="494">
        <v>0</v>
      </c>
      <c r="E17" s="494">
        <v>0</v>
      </c>
      <c r="F17" s="346">
        <v>0</v>
      </c>
      <c r="G17" s="498">
        <f t="shared" si="1"/>
        <v>12016.59</v>
      </c>
      <c r="H17" s="356">
        <f>+'(8)Earned Incurred YTD6'!C38</f>
        <v>108491.93</v>
      </c>
      <c r="I17" s="38">
        <v>62000</v>
      </c>
    </row>
    <row r="18" spans="1:10" ht="12.75">
      <c r="A18" s="398" t="s">
        <v>322</v>
      </c>
      <c r="B18" s="494">
        <f>+'[1]TB03-31-04(Final)'!G647</f>
        <v>92969.09</v>
      </c>
      <c r="C18" s="494">
        <v>0</v>
      </c>
      <c r="D18" s="494">
        <v>0</v>
      </c>
      <c r="E18" s="494">
        <v>0</v>
      </c>
      <c r="F18" s="494">
        <v>0</v>
      </c>
      <c r="G18" s="498">
        <f t="shared" si="1"/>
        <v>92969.09</v>
      </c>
      <c r="H18" s="36">
        <f>+G17+G18+G20</f>
        <v>108491.93</v>
      </c>
      <c r="I18" s="38">
        <v>65000</v>
      </c>
      <c r="J18" s="116">
        <f>+H17-H18</f>
        <v>0</v>
      </c>
    </row>
    <row r="19" spans="1:10" ht="12.75">
      <c r="A19" s="398" t="s">
        <v>323</v>
      </c>
      <c r="B19" s="346" t="e">
        <f>+'(8)Earned Incurred YTD6'!D37-C19-D19-E19</f>
        <v>#REF!</v>
      </c>
      <c r="C19" s="346">
        <f>+'[1]TB03-31-04(Final)'!F626+'[1]TB03-31-04(Final)'!F620+'[1]TB03-31-04(Final)'!F612+'[1]TB03-31-04(Final)'!F603+'[1]TB03-31-04(Final)'!F595+'[1]TB03-31-04(Final)'!F586</f>
        <v>-369.1</v>
      </c>
      <c r="D19" s="494">
        <f>+'[1]TB03-31-04(Final)'!G585</f>
        <v>0</v>
      </c>
      <c r="E19" s="494" t="e">
        <f>+'[1]TB03-31-04(Final)'!F584+'[1]TB03-31-04(Final)'!F593+'[1]TB03-31-04(Final)'!F601-'[1]TB03-31-04(Final)'!F610</f>
        <v>#REF!</v>
      </c>
      <c r="F19" s="590">
        <v>0</v>
      </c>
      <c r="G19" s="498" t="e">
        <f>SUM(B19:F19)</f>
        <v>#REF!</v>
      </c>
      <c r="H19" s="36">
        <f>+'[1]TB03-31-04(Final)'!G630</f>
        <v>528557.35</v>
      </c>
      <c r="I19" s="31" t="s">
        <v>160</v>
      </c>
      <c r="J19" s="116" t="e">
        <f>+G19-H19</f>
        <v>#REF!</v>
      </c>
    </row>
    <row r="20" spans="1:9" ht="12.75">
      <c r="A20" s="354" t="s">
        <v>324</v>
      </c>
      <c r="B20" s="494">
        <f>+'[1]TB03-31-04(Final)'!G639</f>
        <v>3506.25</v>
      </c>
      <c r="C20" s="494">
        <v>0</v>
      </c>
      <c r="D20" s="494">
        <v>0</v>
      </c>
      <c r="E20" s="494">
        <v>0</v>
      </c>
      <c r="F20" s="346">
        <v>0</v>
      </c>
      <c r="G20" s="498">
        <f t="shared" si="1"/>
        <v>3506.25</v>
      </c>
      <c r="H20" s="356">
        <f>+G20+G18+G17</f>
        <v>108491.93</v>
      </c>
      <c r="I20" s="38">
        <v>63000</v>
      </c>
    </row>
    <row r="21" spans="1:10" ht="12.75">
      <c r="A21" s="354" t="s">
        <v>325</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292</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316</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326</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327</v>
      </c>
      <c r="B27" s="501"/>
      <c r="C27" s="501"/>
      <c r="D27" s="501"/>
      <c r="E27" s="501"/>
      <c r="F27" s="501"/>
      <c r="G27" s="494"/>
      <c r="H27" s="37"/>
    </row>
    <row r="28" spans="1:8" ht="12.75">
      <c r="A28" s="354" t="s">
        <v>328</v>
      </c>
      <c r="B28" s="494">
        <v>0</v>
      </c>
      <c r="C28" s="494">
        <v>17084</v>
      </c>
      <c r="D28" s="494">
        <v>0</v>
      </c>
      <c r="E28" s="494">
        <v>0</v>
      </c>
      <c r="F28" s="494">
        <v>0</v>
      </c>
      <c r="G28" s="498">
        <f>SUM(B28:F28)</f>
        <v>17084</v>
      </c>
      <c r="H28" s="37"/>
    </row>
    <row r="29" spans="1:8" ht="12.75">
      <c r="A29" s="354" t="s">
        <v>329</v>
      </c>
      <c r="B29" s="494">
        <f>'Balance Sheet-1'!D14</f>
        <v>906626.5499999999</v>
      </c>
      <c r="C29" s="494">
        <v>0</v>
      </c>
      <c r="D29" s="494">
        <v>0</v>
      </c>
      <c r="E29" s="494">
        <v>0</v>
      </c>
      <c r="F29" s="494">
        <v>0</v>
      </c>
      <c r="G29" s="498">
        <f>SUM(B29:F29)</f>
        <v>906626.5499999999</v>
      </c>
      <c r="H29" s="37"/>
    </row>
    <row r="30" spans="1:8" ht="12.75" hidden="1">
      <c r="A30" s="354" t="s">
        <v>98</v>
      </c>
      <c r="B30" s="494">
        <v>0</v>
      </c>
      <c r="C30" s="494">
        <v>0</v>
      </c>
      <c r="D30" s="494">
        <v>0</v>
      </c>
      <c r="E30" s="494">
        <v>0</v>
      </c>
      <c r="F30" s="494">
        <v>0</v>
      </c>
      <c r="G30" s="498">
        <f>SUM(B30:F30)</f>
        <v>0</v>
      </c>
      <c r="H30" s="37" t="s">
        <v>61</v>
      </c>
    </row>
    <row r="31" spans="1:8" ht="12.75">
      <c r="A31" s="354" t="s">
        <v>316</v>
      </c>
      <c r="B31" s="496">
        <f aca="true" t="shared" si="4" ref="B31:G31">SUM(B28:B30)</f>
        <v>906626.5499999999</v>
      </c>
      <c r="C31" s="496">
        <f t="shared" si="4"/>
        <v>17084</v>
      </c>
      <c r="D31" s="496">
        <f t="shared" si="4"/>
        <v>0</v>
      </c>
      <c r="E31" s="496">
        <f t="shared" si="4"/>
        <v>0</v>
      </c>
      <c r="F31" s="496">
        <f t="shared" si="4"/>
        <v>0</v>
      </c>
      <c r="G31" s="497">
        <f t="shared" si="4"/>
        <v>923710.5499999999</v>
      </c>
      <c r="H31" s="39"/>
    </row>
    <row r="32" spans="1:8" ht="12.75">
      <c r="A32" s="354"/>
      <c r="B32" s="494"/>
      <c r="C32" s="494"/>
      <c r="D32" s="494"/>
      <c r="E32" s="494"/>
      <c r="F32" s="494"/>
      <c r="G32" s="494"/>
      <c r="H32" s="37"/>
    </row>
    <row r="33" spans="1:8" ht="12.75">
      <c r="A33" s="393" t="s">
        <v>330</v>
      </c>
      <c r="B33" s="501"/>
      <c r="C33" s="501"/>
      <c r="D33" s="501"/>
      <c r="E33" s="501"/>
      <c r="F33" s="501"/>
      <c r="G33" s="494"/>
      <c r="H33" s="37"/>
    </row>
    <row r="34" spans="1:8" ht="12.75">
      <c r="A34" s="354" t="s">
        <v>331</v>
      </c>
      <c r="B34" s="494">
        <f>'(8)Earned Incurred YTD6'!B49</f>
        <v>10038.47</v>
      </c>
      <c r="C34" s="494">
        <f>'(8)Earned Incurred YTD6'!C49</f>
        <v>0</v>
      </c>
      <c r="D34" s="494">
        <v>0</v>
      </c>
      <c r="E34" s="494">
        <v>0</v>
      </c>
      <c r="F34" s="494">
        <v>0</v>
      </c>
      <c r="G34" s="498">
        <f>SUM(B34:F34)</f>
        <v>10038.47</v>
      </c>
      <c r="H34" s="37">
        <f>-G28+G34</f>
        <v>-7045.530000000001</v>
      </c>
    </row>
    <row r="35" spans="1:8" ht="12.75">
      <c r="A35" s="354" t="s">
        <v>332</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316</v>
      </c>
      <c r="B37" s="496">
        <f aca="true" t="shared" si="5" ref="B37:G37">SUM(B34:B36)</f>
        <v>10038.47</v>
      </c>
      <c r="C37" s="496">
        <f t="shared" si="5"/>
        <v>282394</v>
      </c>
      <c r="D37" s="496">
        <f t="shared" si="5"/>
        <v>0</v>
      </c>
      <c r="E37" s="496">
        <f t="shared" si="5"/>
        <v>0</v>
      </c>
      <c r="F37" s="496">
        <f t="shared" si="5"/>
        <v>0</v>
      </c>
      <c r="G37" s="497">
        <f t="shared" si="5"/>
        <v>292432.47</v>
      </c>
      <c r="H37" s="591">
        <f>+G31-G37</f>
        <v>631278.08</v>
      </c>
    </row>
    <row r="38" spans="1:8" ht="12.75">
      <c r="A38" s="354"/>
      <c r="B38" s="494"/>
      <c r="C38" s="494"/>
      <c r="D38" s="494"/>
      <c r="E38" s="494"/>
      <c r="F38" s="494"/>
      <c r="G38" s="503"/>
      <c r="H38" s="39"/>
    </row>
    <row r="39" spans="1:28" s="42" customFormat="1" ht="12.75">
      <c r="A39" s="400" t="s">
        <v>213</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214</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227</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316</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26.25" thickBot="1">
      <c r="A44" s="393" t="s">
        <v>333</v>
      </c>
      <c r="B44" s="500" t="e">
        <f aca="true" t="shared" si="6" ref="B44:G44">B25-B31+B37+B42</f>
        <v>#REF!</v>
      </c>
      <c r="C44" s="500" t="e">
        <f>C25-C31+C37+C42</f>
        <v>#REF!</v>
      </c>
      <c r="D44" s="500" t="e">
        <f t="shared" si="6"/>
        <v>#REF!</v>
      </c>
      <c r="E44" s="500" t="e">
        <f t="shared" si="6"/>
        <v>#REF!</v>
      </c>
      <c r="F44" s="500" t="e">
        <f t="shared" si="6"/>
        <v>#REF!</v>
      </c>
      <c r="G44" s="497" t="e">
        <f t="shared" si="6"/>
        <v>#REF!</v>
      </c>
      <c r="H44" s="592" t="e">
        <f>SUM(H34:H43)</f>
        <v>#REF!</v>
      </c>
    </row>
    <row r="45" spans="1:8" ht="13.5" thickTop="1">
      <c r="A45" s="354"/>
      <c r="B45" s="494"/>
      <c r="C45" s="494"/>
      <c r="D45" s="494"/>
      <c r="E45" s="494"/>
      <c r="F45" s="494"/>
      <c r="G45" s="494"/>
      <c r="H45" s="37"/>
    </row>
    <row r="46" spans="1:8" ht="12.75">
      <c r="A46" s="402" t="s">
        <v>128</v>
      </c>
      <c r="B46" s="494"/>
      <c r="C46" s="494"/>
      <c r="D46" s="494"/>
      <c r="E46" s="494"/>
      <c r="F46" s="494"/>
      <c r="G46" s="494"/>
      <c r="H46" s="37"/>
    </row>
    <row r="47" spans="1:8" ht="12.75">
      <c r="A47" s="354" t="s">
        <v>291</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334</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335</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336</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337</v>
      </c>
      <c r="B51" s="494">
        <f>'(8)Earned Incurred YTD6'!B32</f>
        <v>34955</v>
      </c>
      <c r="C51" s="494">
        <f>'(8)Earned Incurred YTD6'!C32</f>
        <v>0</v>
      </c>
      <c r="D51" s="494">
        <v>0</v>
      </c>
      <c r="E51" s="494">
        <v>0</v>
      </c>
      <c r="F51" s="346">
        <v>0</v>
      </c>
      <c r="G51" s="498">
        <f>SUM(B51:F51)</f>
        <v>34955</v>
      </c>
      <c r="H51" s="37">
        <f>+'(8)Earned Incurred YTD6'!B32</f>
        <v>34955</v>
      </c>
    </row>
    <row r="52" spans="1:9" ht="12.75">
      <c r="A52" s="403" t="s">
        <v>316</v>
      </c>
      <c r="B52" s="496">
        <f>SUM(B47:B51)-1</f>
        <v>13750936.63183647</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129</v>
      </c>
      <c r="B54" s="507"/>
      <c r="C54" s="507"/>
      <c r="D54" s="507"/>
      <c r="E54" s="507"/>
      <c r="F54" s="494"/>
      <c r="G54" s="494"/>
      <c r="H54" s="37"/>
    </row>
    <row r="55" spans="1:8" ht="12.75">
      <c r="A55" s="354" t="s">
        <v>291</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334</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338</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336</v>
      </c>
      <c r="B58" s="494">
        <v>0</v>
      </c>
      <c r="C58" s="494">
        <f>+'(8)Earned Incurred YTD6'!B42</f>
        <v>356304</v>
      </c>
      <c r="D58" s="494">
        <v>0</v>
      </c>
      <c r="E58" s="494">
        <v>0</v>
      </c>
      <c r="F58" s="494">
        <v>0</v>
      </c>
      <c r="G58" s="498">
        <f>SUM(B58:F58)</f>
        <v>356304</v>
      </c>
      <c r="H58" s="37">
        <f>+'(8)Earned Incurred YTD6'!B42</f>
        <v>356304</v>
      </c>
    </row>
    <row r="59" spans="1:8" ht="12.75">
      <c r="A59" s="354" t="s">
        <v>337</v>
      </c>
      <c r="B59" s="494">
        <v>0</v>
      </c>
      <c r="C59" s="494">
        <f>+'(8)Earned Incurred YTD6'!B33</f>
        <v>46320</v>
      </c>
      <c r="D59" s="494">
        <v>0</v>
      </c>
      <c r="E59" s="494">
        <v>0</v>
      </c>
      <c r="F59" s="494">
        <v>0</v>
      </c>
      <c r="G59" s="498">
        <f>SUM(B59:F59)</f>
        <v>46320</v>
      </c>
      <c r="H59" s="37">
        <f>+'(8)Earned Incurred YTD6'!B33</f>
        <v>46320</v>
      </c>
    </row>
    <row r="60" spans="1:8" ht="12.75">
      <c r="A60" s="354" t="s">
        <v>316</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339</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4"/>
      <c r="H63" s="44" t="e">
        <f>+G62-H62</f>
        <v>#REF!</v>
      </c>
      <c r="I63" s="345"/>
    </row>
    <row r="64" spans="1:9" ht="12.75">
      <c r="A64" s="354"/>
      <c r="B64" s="404"/>
      <c r="C64" s="404"/>
      <c r="D64" s="404"/>
      <c r="E64" s="404"/>
      <c r="F64" s="397"/>
      <c r="G64" s="594"/>
      <c r="I64" s="44"/>
    </row>
    <row r="65" spans="1:7" ht="12.75">
      <c r="A65" s="354"/>
      <c r="B65" s="404"/>
      <c r="C65" s="404"/>
      <c r="D65" s="404"/>
      <c r="E65" s="404"/>
      <c r="F65" s="397"/>
      <c r="G65" s="753"/>
    </row>
    <row r="66" ht="12.75">
      <c r="G66" s="593"/>
    </row>
    <row r="67" ht="12.75">
      <c r="J67" s="116"/>
    </row>
    <row r="68" ht="12.75">
      <c r="J68" s="354"/>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H57"/>
  <sheetViews>
    <sheetView tabSelected="1" zoomScale="75" zoomScaleNormal="75" workbookViewId="0" topLeftCell="A1">
      <selection activeCell="A1" sqref="A1:E1"/>
    </sheetView>
  </sheetViews>
  <sheetFormatPr defaultColWidth="9.140625" defaultRowHeight="15" customHeight="1"/>
  <cols>
    <col min="1" max="1" width="52.57421875" style="14" customWidth="1"/>
    <col min="2" max="4" width="15.7109375" style="478" customWidth="1"/>
    <col min="5" max="5" width="20.57421875" style="478" bestFit="1" customWidth="1"/>
    <col min="6" max="6" width="16.57421875" style="14" bestFit="1" customWidth="1"/>
    <col min="7" max="16384" width="15.7109375" style="14" customWidth="1"/>
  </cols>
  <sheetData>
    <row r="1" spans="1:5" s="11" customFormat="1" ht="30" customHeight="1">
      <c r="A1" s="958" t="s">
        <v>278</v>
      </c>
      <c r="B1" s="958"/>
      <c r="C1" s="958"/>
      <c r="D1" s="958"/>
      <c r="E1" s="958"/>
    </row>
    <row r="2" spans="1:5" s="11" customFormat="1" ht="15" customHeight="1">
      <c r="A2" s="956"/>
      <c r="B2" s="956"/>
      <c r="C2" s="956"/>
      <c r="D2" s="956"/>
      <c r="E2" s="956"/>
    </row>
    <row r="3" spans="1:5" s="12" customFormat="1" ht="15" customHeight="1">
      <c r="A3" s="959" t="s">
        <v>233</v>
      </c>
      <c r="B3" s="959"/>
      <c r="C3" s="959"/>
      <c r="D3" s="959"/>
      <c r="E3" s="959"/>
    </row>
    <row r="4" spans="1:5" s="12" customFormat="1" ht="15" customHeight="1">
      <c r="A4" s="960" t="s">
        <v>17</v>
      </c>
      <c r="B4" s="960"/>
      <c r="C4" s="960"/>
      <c r="D4" s="960"/>
      <c r="E4" s="960"/>
    </row>
    <row r="5" spans="1:5" s="12" customFormat="1" ht="15" customHeight="1">
      <c r="A5" s="768"/>
      <c r="B5" s="768"/>
      <c r="C5" s="768"/>
      <c r="D5" s="768"/>
      <c r="E5" s="768"/>
    </row>
    <row r="6" spans="1:5" ht="45" customHeight="1">
      <c r="A6" s="803"/>
      <c r="B6" s="886" t="s">
        <v>234</v>
      </c>
      <c r="C6" s="886" t="s">
        <v>235</v>
      </c>
      <c r="D6" s="886" t="s">
        <v>236</v>
      </c>
      <c r="E6" s="886" t="s">
        <v>237</v>
      </c>
    </row>
    <row r="7" spans="1:5" ht="15" customHeight="1">
      <c r="A7" s="804" t="s">
        <v>280</v>
      </c>
      <c r="B7" s="473"/>
      <c r="C7" s="473"/>
      <c r="D7" s="473"/>
      <c r="E7" s="473"/>
    </row>
    <row r="8" spans="1:5" ht="15" customHeight="1">
      <c r="A8" s="808" t="s">
        <v>26</v>
      </c>
      <c r="B8" s="474">
        <f>'[12]1Q08 Trial Balance'!D17+'[12]1Q08 Trial Balance'!D21</f>
        <v>14965393</v>
      </c>
      <c r="C8" s="481">
        <v>0</v>
      </c>
      <c r="D8" s="481">
        <v>0</v>
      </c>
      <c r="E8" s="474">
        <f>SUM(B8:D8)</f>
        <v>14965393</v>
      </c>
    </row>
    <row r="9" spans="1:5" ht="15" customHeight="1">
      <c r="A9" s="808" t="s">
        <v>281</v>
      </c>
      <c r="B9" s="482">
        <v>0</v>
      </c>
      <c r="C9" s="482">
        <f>'[12]1Q08 Trial Balance'!D24</f>
        <v>82621</v>
      </c>
      <c r="D9" s="482">
        <v>0</v>
      </c>
      <c r="E9" s="482">
        <f>SUM(B9:D9)</f>
        <v>82621</v>
      </c>
    </row>
    <row r="10" spans="1:5" ht="15" customHeight="1">
      <c r="A10" s="808" t="s">
        <v>282</v>
      </c>
      <c r="B10" s="482">
        <f>126113.3-36819.2</f>
        <v>89294.1</v>
      </c>
      <c r="C10" s="482">
        <v>0</v>
      </c>
      <c r="D10" s="482">
        <f>B10</f>
        <v>89294.1</v>
      </c>
      <c r="E10" s="482">
        <f>+B10-D10</f>
        <v>0</v>
      </c>
    </row>
    <row r="11" spans="1:7" ht="15" customHeight="1">
      <c r="A11" s="808" t="s">
        <v>27</v>
      </c>
      <c r="B11" s="482">
        <f>926296.38-323727.28+192708.02-38054.3+39350.62-2623.37+'[12]1Q08 Trial Balance'!D36+'[12]1Q08 Trial Balance'!D40+'[12]1Q08 Trial Balance'!D56</f>
        <v>895270.07</v>
      </c>
      <c r="C11" s="482">
        <v>0</v>
      </c>
      <c r="D11" s="482">
        <f>B11-'[12]1Q08 Trial Balance'!D36-'[12]1Q08 Trial Balance'!D40-'[12]1Q08 Trial Balance'!D56</f>
        <v>793950.07</v>
      </c>
      <c r="E11" s="482">
        <f>B11-D11</f>
        <v>101320</v>
      </c>
      <c r="F11" s="901"/>
      <c r="G11" s="811"/>
    </row>
    <row r="12" spans="1:5" ht="15" customHeight="1">
      <c r="A12" s="808" t="s">
        <v>285</v>
      </c>
      <c r="B12" s="482">
        <f>77363.16-59936.18</f>
        <v>17426.980000000003</v>
      </c>
      <c r="C12" s="482">
        <v>0</v>
      </c>
      <c r="D12" s="482">
        <f>B12</f>
        <v>17426.980000000003</v>
      </c>
      <c r="E12" s="482">
        <f>+B12-D12</f>
        <v>0</v>
      </c>
    </row>
    <row r="13" spans="1:6" ht="15" customHeight="1">
      <c r="A13" s="808" t="s">
        <v>491</v>
      </c>
      <c r="B13" s="482">
        <f>'[12]1Q08 Trial Balance'!D28+5138.7+817.7</f>
        <v>32109.4</v>
      </c>
      <c r="C13" s="482">
        <v>0</v>
      </c>
      <c r="D13" s="482">
        <f>5138.7+817.7</f>
        <v>5956.4</v>
      </c>
      <c r="E13" s="482">
        <f>+B13-C13-D13</f>
        <v>26153</v>
      </c>
      <c r="F13" s="811"/>
    </row>
    <row r="14" spans="1:7" ht="15" customHeight="1">
      <c r="A14" s="805" t="s">
        <v>286</v>
      </c>
      <c r="B14" s="475">
        <f>SUM(B8:B13)-1</f>
        <v>15999492.55</v>
      </c>
      <c r="C14" s="475">
        <f>SUM(C8:C13)</f>
        <v>82621</v>
      </c>
      <c r="D14" s="475">
        <f>SUM(D8:D13)-1</f>
        <v>906626.5499999999</v>
      </c>
      <c r="E14" s="475">
        <f>SUM(E8:E13)</f>
        <v>15175487</v>
      </c>
      <c r="F14" s="901"/>
      <c r="G14" s="810"/>
    </row>
    <row r="15" spans="1:7" ht="15" customHeight="1">
      <c r="A15" s="806"/>
      <c r="B15" s="476"/>
      <c r="C15" s="476"/>
      <c r="D15" s="476"/>
      <c r="E15" s="476"/>
      <c r="F15" s="810"/>
      <c r="G15" s="810"/>
    </row>
    <row r="16" spans="1:7" ht="15" customHeight="1">
      <c r="A16" s="807" t="s">
        <v>287</v>
      </c>
      <c r="B16" s="476"/>
      <c r="C16" s="476"/>
      <c r="D16" s="476"/>
      <c r="E16" s="476"/>
      <c r="F16" s="810"/>
      <c r="G16" s="810"/>
    </row>
    <row r="17" spans="1:7" ht="15" customHeight="1">
      <c r="A17" s="806" t="s">
        <v>288</v>
      </c>
      <c r="B17" s="476"/>
      <c r="C17" s="476"/>
      <c r="D17" s="476" t="s">
        <v>288</v>
      </c>
      <c r="E17" s="476"/>
      <c r="F17" s="810"/>
      <c r="G17" s="810"/>
    </row>
    <row r="18" spans="1:7" ht="15" customHeight="1">
      <c r="A18" s="808" t="s">
        <v>465</v>
      </c>
      <c r="B18" s="476"/>
      <c r="C18" s="477"/>
      <c r="D18" s="485">
        <f>-'[12]1Q08 Trial Balance'!$D$208</f>
        <v>2133642</v>
      </c>
      <c r="E18" s="476"/>
      <c r="F18" s="810"/>
      <c r="G18" s="810"/>
    </row>
    <row r="19" spans="1:7" ht="15" customHeight="1">
      <c r="A19" s="808" t="s">
        <v>100</v>
      </c>
      <c r="B19" s="476"/>
      <c r="C19" s="477"/>
      <c r="D19" s="485">
        <f>-'[12]1Q08 Trial Balance'!$D$205</f>
        <v>123540</v>
      </c>
      <c r="E19" s="476"/>
      <c r="F19" s="810"/>
      <c r="G19" s="810"/>
    </row>
    <row r="20" spans="1:7" ht="15" customHeight="1">
      <c r="A20" s="808" t="s">
        <v>45</v>
      </c>
      <c r="B20" s="476"/>
      <c r="C20" s="477"/>
      <c r="D20" s="485">
        <f>-'[12]1Q08 Trial Balance'!$D$214</f>
        <v>283159</v>
      </c>
      <c r="E20" s="476"/>
      <c r="F20" s="810"/>
      <c r="G20" s="810"/>
    </row>
    <row r="21" spans="1:7" ht="15" customHeight="1">
      <c r="A21" s="808" t="s">
        <v>105</v>
      </c>
      <c r="B21" s="476"/>
      <c r="C21" s="538"/>
      <c r="D21" s="485">
        <f>-'[12]1Q08 Trial Balance'!$D$221</f>
        <v>217407</v>
      </c>
      <c r="E21" s="485"/>
      <c r="F21" s="810"/>
      <c r="G21" s="810"/>
    </row>
    <row r="22" spans="1:7" ht="15" customHeight="1">
      <c r="A22" s="808" t="s">
        <v>476</v>
      </c>
      <c r="B22" s="476"/>
      <c r="C22" s="538"/>
      <c r="D22" s="485">
        <f>-'[12]1Q08 Trial Balance'!$D$164</f>
        <v>108845</v>
      </c>
      <c r="E22" s="485"/>
      <c r="F22" s="810"/>
      <c r="G22" s="810"/>
    </row>
    <row r="23" spans="1:7" ht="15" customHeight="1">
      <c r="A23" s="808" t="s">
        <v>106</v>
      </c>
      <c r="B23" s="476"/>
      <c r="C23" s="477"/>
      <c r="D23" s="484">
        <f>-'[12]1Q08 Trial Balance'!$D$160</f>
        <v>133514</v>
      </c>
      <c r="E23" s="477"/>
      <c r="F23" s="810"/>
      <c r="G23" s="810"/>
    </row>
    <row r="24" spans="1:7" ht="15" customHeight="1">
      <c r="A24" s="808"/>
      <c r="B24" s="357"/>
      <c r="C24" s="476"/>
      <c r="D24" s="476"/>
      <c r="E24" s="485"/>
      <c r="F24" s="810"/>
      <c r="G24" s="810"/>
    </row>
    <row r="25" spans="1:7" ht="15" customHeight="1">
      <c r="A25" s="805" t="s">
        <v>289</v>
      </c>
      <c r="B25" s="476"/>
      <c r="C25" s="476"/>
      <c r="D25" s="476"/>
      <c r="E25" s="486">
        <f>SUM(D18:D24)</f>
        <v>3000107</v>
      </c>
      <c r="F25" s="810"/>
      <c r="G25" s="810"/>
    </row>
    <row r="26" spans="1:7" ht="15" customHeight="1">
      <c r="A26" s="806"/>
      <c r="B26" s="476"/>
      <c r="C26" s="476"/>
      <c r="D26" s="476"/>
      <c r="E26" s="476"/>
      <c r="F26" s="810"/>
      <c r="G26" s="810"/>
    </row>
    <row r="27" spans="1:7" ht="15" customHeight="1">
      <c r="A27" s="807" t="s">
        <v>290</v>
      </c>
      <c r="B27" s="476"/>
      <c r="C27" s="476"/>
      <c r="D27" s="476"/>
      <c r="E27" s="476"/>
      <c r="F27" s="810"/>
      <c r="G27" s="810"/>
    </row>
    <row r="28" spans="1:7" ht="15" customHeight="1">
      <c r="A28" s="808" t="s">
        <v>291</v>
      </c>
      <c r="B28" s="476"/>
      <c r="C28" s="477"/>
      <c r="D28" s="485">
        <f>-'[12]1Q08 Trial Balance'!$D$72</f>
        <v>7855325</v>
      </c>
      <c r="E28" s="476"/>
      <c r="F28" s="810"/>
      <c r="G28" s="810"/>
    </row>
    <row r="29" spans="1:7" ht="15" customHeight="1">
      <c r="A29" s="808" t="s">
        <v>97</v>
      </c>
      <c r="B29" s="476"/>
      <c r="C29" s="477"/>
      <c r="D29" s="485">
        <f>-'[12]1Q08 Trial Balance'!$D$92</f>
        <v>3375515</v>
      </c>
      <c r="E29" s="485"/>
      <c r="F29" s="810"/>
      <c r="G29" s="931"/>
    </row>
    <row r="30" spans="1:7" ht="15" customHeight="1">
      <c r="A30" s="808" t="s">
        <v>96</v>
      </c>
      <c r="B30" s="476"/>
      <c r="C30" s="477"/>
      <c r="D30" s="485">
        <f>-'[12]1Q08 Trial Balance'!$D$109</f>
        <v>879500</v>
      </c>
      <c r="E30" s="485"/>
      <c r="F30" s="810"/>
      <c r="G30" s="931"/>
    </row>
    <row r="31" spans="1:7" ht="15" customHeight="1">
      <c r="A31" s="808" t="s">
        <v>101</v>
      </c>
      <c r="B31" s="476"/>
      <c r="C31" s="477"/>
      <c r="D31" s="485">
        <f>-'[12]1Q08 Trial Balance'!$D$131</f>
        <v>337030</v>
      </c>
      <c r="E31" s="485"/>
      <c r="F31" s="810"/>
      <c r="G31" s="931"/>
    </row>
    <row r="32" spans="1:8" ht="15" customHeight="1">
      <c r="A32" s="808" t="s">
        <v>102</v>
      </c>
      <c r="B32" s="477"/>
      <c r="C32" s="477"/>
      <c r="D32" s="485">
        <f>-'[12]1Q08 Trial Balance'!$D$150</f>
        <v>124885</v>
      </c>
      <c r="E32" s="485"/>
      <c r="F32" s="810"/>
      <c r="G32" s="810"/>
      <c r="H32" s="24"/>
    </row>
    <row r="33" spans="1:7" ht="15" customHeight="1">
      <c r="A33" s="808" t="s">
        <v>130</v>
      </c>
      <c r="B33" s="476"/>
      <c r="C33" s="477"/>
      <c r="D33" s="122">
        <f>-'[12]1Q08 Trial Balance'!$D$175</f>
        <v>223062</v>
      </c>
      <c r="E33" s="476"/>
      <c r="F33" s="810"/>
      <c r="G33" s="810"/>
    </row>
    <row r="34" spans="1:7" ht="15" customHeight="1">
      <c r="A34" s="808" t="s">
        <v>124</v>
      </c>
      <c r="B34" s="476"/>
      <c r="C34" s="476"/>
      <c r="D34" s="484">
        <f>-'[12]1Q08 Trial Balance'!$D$156</f>
        <v>34955</v>
      </c>
      <c r="E34" s="476"/>
      <c r="F34" s="810"/>
      <c r="G34" s="810"/>
    </row>
    <row r="35" spans="1:7" ht="15" customHeight="1">
      <c r="A35" s="808"/>
      <c r="B35" s="476"/>
      <c r="C35" s="476"/>
      <c r="D35" s="476"/>
      <c r="E35" s="476"/>
      <c r="F35" s="810"/>
      <c r="G35" s="810"/>
    </row>
    <row r="36" spans="1:7" ht="15" customHeight="1">
      <c r="A36" s="809" t="s">
        <v>408</v>
      </c>
      <c r="B36" s="476"/>
      <c r="C36" s="476"/>
      <c r="D36" s="477"/>
      <c r="E36" s="486">
        <f>SUM(D28:D34)</f>
        <v>12830272</v>
      </c>
      <c r="F36" s="810"/>
      <c r="G36" s="810"/>
    </row>
    <row r="37" spans="1:7" ht="15" customHeight="1">
      <c r="A37" s="809"/>
      <c r="B37" s="476"/>
      <c r="C37" s="476"/>
      <c r="D37" s="477"/>
      <c r="E37" s="479"/>
      <c r="F37" s="810"/>
      <c r="G37" s="810"/>
    </row>
    <row r="38" spans="1:7" ht="15" customHeight="1">
      <c r="A38" s="805" t="s">
        <v>293</v>
      </c>
      <c r="B38" s="476"/>
      <c r="C38" s="476"/>
      <c r="D38" s="477"/>
      <c r="E38" s="487">
        <f>E36+E25</f>
        <v>15830379</v>
      </c>
      <c r="F38" s="810"/>
      <c r="G38" s="810"/>
    </row>
    <row r="39" spans="1:7" ht="15" customHeight="1">
      <c r="A39" s="806"/>
      <c r="B39" s="476"/>
      <c r="C39" s="476"/>
      <c r="D39" s="477"/>
      <c r="E39" s="476"/>
      <c r="F39" s="810"/>
      <c r="G39" s="810"/>
    </row>
    <row r="40" spans="1:7" ht="15" customHeight="1">
      <c r="A40" s="807" t="s">
        <v>294</v>
      </c>
      <c r="B40" s="476"/>
      <c r="C40" s="476"/>
      <c r="D40" s="477"/>
      <c r="E40" s="476"/>
      <c r="F40" s="810"/>
      <c r="G40" s="810"/>
    </row>
    <row r="41" spans="1:7" ht="15" customHeight="1">
      <c r="A41" s="808" t="s">
        <v>18</v>
      </c>
      <c r="B41" s="476"/>
      <c r="C41" s="476"/>
      <c r="D41" s="477"/>
      <c r="E41" s="920">
        <f>+E14-E38</f>
        <v>-654892</v>
      </c>
      <c r="F41" s="810"/>
      <c r="G41" s="810"/>
    </row>
    <row r="42" spans="1:7" ht="15" customHeight="1">
      <c r="A42" s="806"/>
      <c r="B42" s="477"/>
      <c r="C42" s="477"/>
      <c r="D42" s="477"/>
      <c r="E42" s="476"/>
      <c r="F42" s="810"/>
      <c r="G42" s="810"/>
    </row>
    <row r="43" spans="1:7" ht="15" customHeight="1" thickBot="1">
      <c r="A43" s="809" t="s">
        <v>295</v>
      </c>
      <c r="B43" s="476"/>
      <c r="C43" s="476"/>
      <c r="D43" s="476"/>
      <c r="E43" s="480">
        <f>E38+E41</f>
        <v>15175487</v>
      </c>
      <c r="F43" s="810"/>
      <c r="G43" s="810"/>
    </row>
    <row r="44" spans="1:6" ht="15" customHeight="1" thickTop="1">
      <c r="A44" s="15"/>
      <c r="B44" s="472"/>
      <c r="C44" s="472"/>
      <c r="D44" s="472"/>
      <c r="E44" s="472"/>
      <c r="F44" s="374"/>
    </row>
    <row r="53" spans="1:5" ht="15" customHeight="1">
      <c r="A53" s="801"/>
      <c r="E53" s="802"/>
    </row>
    <row r="57" spans="1:5" s="801" customFormat="1" ht="15" customHeight="1">
      <c r="A57" s="926"/>
      <c r="B57" s="927"/>
      <c r="C57" s="927"/>
      <c r="D57" s="927"/>
      <c r="E57" s="932"/>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6.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65" t="s">
        <v>278</v>
      </c>
      <c r="B1" s="966"/>
      <c r="C1" s="966"/>
      <c r="D1" s="967"/>
      <c r="E1" s="969"/>
      <c r="F1" s="969"/>
      <c r="G1" s="969"/>
      <c r="H1" s="970"/>
      <c r="I1" s="45"/>
      <c r="J1" s="45"/>
      <c r="K1" s="45"/>
      <c r="L1" s="45"/>
      <c r="M1" s="971"/>
      <c r="N1" s="969"/>
      <c r="O1" s="969"/>
      <c r="P1" s="970"/>
      <c r="Q1" s="971"/>
      <c r="R1" s="969"/>
      <c r="S1" s="969"/>
      <c r="T1" s="970"/>
      <c r="U1" s="971"/>
      <c r="V1" s="969"/>
      <c r="W1" s="969"/>
      <c r="X1" s="970"/>
      <c r="Y1" s="971"/>
      <c r="Z1" s="969"/>
      <c r="AA1" s="969"/>
      <c r="AB1" s="970"/>
      <c r="AC1" s="971"/>
      <c r="AD1" s="969"/>
      <c r="AE1" s="969"/>
      <c r="AF1" s="970"/>
      <c r="AG1" s="971"/>
      <c r="AH1" s="969"/>
      <c r="AI1" s="969"/>
      <c r="AJ1" s="970"/>
      <c r="AK1" s="971"/>
      <c r="AL1" s="969"/>
      <c r="AM1" s="969"/>
      <c r="AN1" s="970"/>
      <c r="AO1" s="971"/>
      <c r="AP1" s="969"/>
      <c r="AQ1" s="969"/>
      <c r="AR1" s="970"/>
      <c r="AS1" s="971"/>
      <c r="AT1" s="969"/>
      <c r="AU1" s="969"/>
      <c r="AV1" s="970"/>
      <c r="AW1" s="971"/>
      <c r="AX1" s="969"/>
      <c r="AY1" s="969"/>
      <c r="AZ1" s="970"/>
      <c r="BA1" s="971"/>
      <c r="BB1" s="969"/>
      <c r="BC1" s="969"/>
      <c r="BD1" s="970"/>
      <c r="BE1" s="971"/>
      <c r="BF1" s="969"/>
      <c r="BG1" s="969"/>
      <c r="BH1" s="970"/>
      <c r="BI1" s="971"/>
      <c r="BJ1" s="969"/>
      <c r="BK1" s="969"/>
      <c r="BL1" s="970"/>
      <c r="BM1" s="971"/>
      <c r="BN1" s="969"/>
      <c r="BO1" s="969"/>
      <c r="BP1" s="970"/>
      <c r="BQ1" s="971"/>
      <c r="BR1" s="969"/>
      <c r="BS1" s="969"/>
      <c r="BT1" s="970"/>
      <c r="BU1" s="971"/>
      <c r="BV1" s="969"/>
      <c r="BW1" s="969"/>
      <c r="BX1" s="970"/>
      <c r="BY1" s="971"/>
      <c r="BZ1" s="969"/>
      <c r="CA1" s="969"/>
      <c r="CB1" s="970"/>
      <c r="CC1" s="971"/>
      <c r="CD1" s="969"/>
      <c r="CE1" s="969"/>
      <c r="CF1" s="970"/>
      <c r="CG1" s="971"/>
      <c r="CH1" s="969"/>
      <c r="CI1" s="969"/>
      <c r="CJ1" s="970"/>
      <c r="CK1" s="971"/>
      <c r="CL1" s="969"/>
      <c r="CM1" s="969"/>
      <c r="CN1" s="970"/>
      <c r="CO1" s="971"/>
      <c r="CP1" s="969"/>
      <c r="CQ1" s="969"/>
      <c r="CR1" s="970"/>
      <c r="CS1" s="971"/>
      <c r="CT1" s="969"/>
      <c r="CU1" s="969"/>
      <c r="CV1" s="970"/>
      <c r="CW1" s="971"/>
      <c r="CX1" s="969"/>
      <c r="CY1" s="969"/>
      <c r="CZ1" s="970"/>
      <c r="DA1" s="971"/>
      <c r="DB1" s="969"/>
      <c r="DC1" s="969"/>
      <c r="DD1" s="970"/>
      <c r="DE1" s="971"/>
      <c r="DF1" s="969"/>
      <c r="DG1" s="969"/>
      <c r="DH1" s="970"/>
      <c r="DI1" s="971"/>
      <c r="DJ1" s="969"/>
      <c r="DK1" s="969"/>
      <c r="DL1" s="970"/>
      <c r="DM1" s="971"/>
      <c r="DN1" s="969"/>
      <c r="DO1" s="969"/>
      <c r="DP1" s="970"/>
      <c r="DQ1" s="971"/>
      <c r="DR1" s="969"/>
      <c r="DS1" s="969"/>
      <c r="DT1" s="970"/>
      <c r="DU1" s="971"/>
      <c r="DV1" s="969"/>
      <c r="DW1" s="969"/>
      <c r="DX1" s="970"/>
      <c r="DY1" s="971"/>
      <c r="DZ1" s="969"/>
      <c r="EA1" s="969"/>
      <c r="EB1" s="970"/>
      <c r="EC1" s="971"/>
      <c r="ED1" s="969"/>
      <c r="EE1" s="969"/>
      <c r="EF1" s="970"/>
      <c r="EG1" s="971"/>
      <c r="EH1" s="969"/>
      <c r="EI1" s="969"/>
      <c r="EJ1" s="970"/>
      <c r="EK1" s="971"/>
      <c r="EL1" s="969"/>
      <c r="EM1" s="969"/>
      <c r="EN1" s="970"/>
      <c r="EO1" s="971"/>
      <c r="EP1" s="969"/>
      <c r="EQ1" s="969"/>
      <c r="ER1" s="970"/>
      <c r="ES1" s="971"/>
      <c r="ET1" s="969"/>
      <c r="EU1" s="969"/>
      <c r="EV1" s="970"/>
      <c r="EW1" s="971"/>
      <c r="EX1" s="969"/>
      <c r="EY1" s="969"/>
      <c r="EZ1" s="970"/>
      <c r="FA1" s="971"/>
      <c r="FB1" s="969"/>
      <c r="FC1" s="969"/>
      <c r="FD1" s="970"/>
      <c r="FE1" s="971"/>
      <c r="FF1" s="969"/>
      <c r="FG1" s="969"/>
      <c r="FH1" s="970"/>
      <c r="FI1" s="971"/>
      <c r="FJ1" s="969"/>
      <c r="FK1" s="969"/>
      <c r="FL1" s="970"/>
      <c r="FM1" s="971"/>
      <c r="FN1" s="969"/>
      <c r="FO1" s="969"/>
      <c r="FP1" s="970"/>
      <c r="FQ1" s="971"/>
      <c r="FR1" s="969"/>
      <c r="FS1" s="969"/>
      <c r="FT1" s="970"/>
      <c r="FU1" s="971"/>
      <c r="FV1" s="969"/>
      <c r="FW1" s="969"/>
      <c r="FX1" s="970"/>
      <c r="FY1" s="971"/>
      <c r="FZ1" s="969"/>
      <c r="GA1" s="969"/>
      <c r="GB1" s="970"/>
      <c r="GC1" s="971"/>
      <c r="GD1" s="969"/>
      <c r="GE1" s="969"/>
      <c r="GF1" s="970"/>
      <c r="GG1" s="971"/>
      <c r="GH1" s="969"/>
      <c r="GI1" s="969"/>
      <c r="GJ1" s="970"/>
      <c r="GK1" s="971"/>
      <c r="GL1" s="969"/>
      <c r="GM1" s="969"/>
      <c r="GN1" s="970"/>
      <c r="GO1" s="971"/>
      <c r="GP1" s="969"/>
      <c r="GQ1" s="969"/>
      <c r="GR1" s="970"/>
      <c r="GS1" s="971"/>
      <c r="GT1" s="969"/>
      <c r="GU1" s="969"/>
      <c r="GV1" s="970"/>
      <c r="GW1" s="971"/>
      <c r="GX1" s="969"/>
      <c r="GY1" s="969"/>
      <c r="GZ1" s="970"/>
      <c r="HA1" s="971"/>
      <c r="HB1" s="969"/>
      <c r="HC1" s="969"/>
      <c r="HD1" s="970"/>
      <c r="HE1" s="971"/>
      <c r="HF1" s="969"/>
      <c r="HG1" s="969"/>
      <c r="HH1" s="970"/>
      <c r="HI1" s="971"/>
      <c r="HJ1" s="969"/>
      <c r="HK1" s="969"/>
      <c r="HL1" s="970"/>
      <c r="HM1" s="971"/>
      <c r="HN1" s="969"/>
      <c r="HO1" s="969"/>
      <c r="HP1" s="970"/>
      <c r="HQ1" s="971"/>
      <c r="HR1" s="969"/>
      <c r="HS1" s="969"/>
      <c r="HT1" s="970"/>
      <c r="HU1" s="971"/>
      <c r="HV1" s="969"/>
      <c r="HW1" s="969"/>
      <c r="HX1" s="970"/>
      <c r="HY1" s="971"/>
      <c r="HZ1" s="969"/>
      <c r="IA1" s="969"/>
      <c r="IB1" s="970"/>
      <c r="IC1" s="971"/>
      <c r="ID1" s="969"/>
      <c r="IE1" s="969"/>
      <c r="IF1" s="970"/>
      <c r="IG1" s="971"/>
      <c r="IH1" s="969"/>
      <c r="II1" s="969"/>
      <c r="IJ1" s="970"/>
      <c r="IK1" s="971"/>
      <c r="IL1" s="969"/>
      <c r="IM1" s="969"/>
      <c r="IN1" s="970"/>
      <c r="IO1" s="971"/>
      <c r="IP1" s="969"/>
      <c r="IQ1" s="969"/>
      <c r="IR1" s="970"/>
      <c r="IS1" s="971"/>
      <c r="IT1" s="969"/>
      <c r="IU1" s="969"/>
      <c r="IV1" s="970"/>
    </row>
    <row r="2" spans="1:6" s="45" customFormat="1" ht="18" customHeight="1">
      <c r="A2" s="955"/>
      <c r="B2" s="956"/>
      <c r="C2" s="956"/>
      <c r="D2" s="968"/>
      <c r="F2" s="288"/>
    </row>
    <row r="3" spans="1:6" s="45" customFormat="1" ht="18.75">
      <c r="A3" s="962" t="s">
        <v>241</v>
      </c>
      <c r="B3" s="963"/>
      <c r="C3" s="963"/>
      <c r="D3" s="964"/>
      <c r="F3" s="288"/>
    </row>
    <row r="4" spans="1:6" s="45" customFormat="1" ht="18.75">
      <c r="A4" s="962" t="s">
        <v>340</v>
      </c>
      <c r="B4" s="963"/>
      <c r="C4" s="963"/>
      <c r="D4" s="964"/>
      <c r="F4" s="288"/>
    </row>
    <row r="5" spans="1:6" s="45" customFormat="1" ht="18.75">
      <c r="A5" s="962" t="str">
        <f>+'(9)Equity YTD4'!A4</f>
        <v>YTD PERIOD MARCH 31st, 2004</v>
      </c>
      <c r="B5" s="963"/>
      <c r="C5" s="963"/>
      <c r="D5" s="964"/>
      <c r="F5" s="288"/>
    </row>
    <row r="6" spans="1:6" s="18" customFormat="1" ht="15" customHeight="1">
      <c r="A6" s="415"/>
      <c r="B6" s="519"/>
      <c r="C6" s="519"/>
      <c r="D6" s="520"/>
      <c r="F6" s="22"/>
    </row>
    <row r="7" spans="1:6" s="18" customFormat="1" ht="15">
      <c r="A7" s="416" t="s">
        <v>341</v>
      </c>
      <c r="B7" s="521" t="str">
        <f>+'Earned Incurred QTD-4'!B8</f>
        <v>03-31-08</v>
      </c>
      <c r="C7" s="522"/>
      <c r="D7" s="523"/>
      <c r="F7" s="289" t="s">
        <v>385</v>
      </c>
    </row>
    <row r="8" spans="1:6" s="18" customFormat="1" ht="15">
      <c r="A8" s="416"/>
      <c r="B8" s="524" t="s">
        <v>46</v>
      </c>
      <c r="C8" s="525"/>
      <c r="D8" s="526"/>
      <c r="F8" s="290" t="s">
        <v>217</v>
      </c>
    </row>
    <row r="9" spans="1:6" s="18" customFormat="1" ht="15">
      <c r="A9" s="417"/>
      <c r="B9" s="527" t="s">
        <v>288</v>
      </c>
      <c r="C9" s="528"/>
      <c r="D9" s="529"/>
      <c r="F9" s="22"/>
    </row>
    <row r="10" spans="1:6" s="18" customFormat="1" ht="15">
      <c r="A10" s="418" t="s">
        <v>342</v>
      </c>
      <c r="B10" s="530"/>
      <c r="C10" s="477" t="e">
        <f>'(7)Premiums YTD8'!G12</f>
        <v>#REF!</v>
      </c>
      <c r="D10" s="531"/>
      <c r="E10" s="127">
        <v>16190670</v>
      </c>
      <c r="F10" s="22">
        <v>41000</v>
      </c>
    </row>
    <row r="11" spans="1:6" s="18" customFormat="1" ht="15">
      <c r="A11" s="418"/>
      <c r="B11" s="530"/>
      <c r="C11" s="476"/>
      <c r="D11" s="531"/>
      <c r="F11" s="22"/>
    </row>
    <row r="12" spans="1:6" s="18" customFormat="1" ht="14.25">
      <c r="A12" s="419" t="s">
        <v>343</v>
      </c>
      <c r="B12" s="509" t="e">
        <f>'(7)Premiums YTD8'!G18</f>
        <v>#REF!</v>
      </c>
      <c r="C12" s="122"/>
      <c r="D12" s="510"/>
      <c r="F12" s="22"/>
    </row>
    <row r="13" spans="1:6" s="18" customFormat="1" ht="14.25">
      <c r="A13" s="419" t="s">
        <v>362</v>
      </c>
      <c r="B13" s="511">
        <v>8897126</v>
      </c>
      <c r="C13" s="122"/>
      <c r="D13" s="510"/>
      <c r="F13" s="22"/>
    </row>
    <row r="14" spans="1:6" s="18" customFormat="1" ht="15" customHeight="1">
      <c r="A14" s="419" t="s">
        <v>363</v>
      </c>
      <c r="B14" s="509"/>
      <c r="C14" s="512" t="e">
        <f>B13-B12</f>
        <v>#REF!</v>
      </c>
      <c r="D14" s="510"/>
      <c r="F14" s="22">
        <v>41100</v>
      </c>
    </row>
    <row r="15" spans="1:6" s="18" customFormat="1" ht="15" customHeight="1">
      <c r="A15" s="418" t="s">
        <v>364</v>
      </c>
      <c r="B15" s="509"/>
      <c r="C15" s="122"/>
      <c r="D15" s="563" t="e">
        <f>C10+C14</f>
        <v>#REF!</v>
      </c>
      <c r="E15" s="127" t="e">
        <f>+'(7)Premiums YTD8'!G30</f>
        <v>#REF!</v>
      </c>
      <c r="F15" s="22"/>
    </row>
    <row r="16" spans="1:6" s="18" customFormat="1" ht="14.25">
      <c r="A16" s="419" t="s">
        <v>365</v>
      </c>
      <c r="B16" s="509"/>
      <c r="C16" s="122">
        <f>+'[1]TB03-31-04(Final)'!G384</f>
        <v>3791762.3499999996</v>
      </c>
      <c r="D16" s="510"/>
      <c r="F16" s="22" t="s">
        <v>386</v>
      </c>
    </row>
    <row r="17" spans="1:6" s="18" customFormat="1" ht="14.25">
      <c r="A17" s="419" t="s">
        <v>366</v>
      </c>
      <c r="B17" s="509"/>
      <c r="C17" s="512">
        <f>-'[1]TB03-31-04(Final)'!G405+1</f>
        <v>8001.969999999999</v>
      </c>
      <c r="D17" s="510"/>
      <c r="F17" s="22">
        <v>51108</v>
      </c>
    </row>
    <row r="18" spans="1:6" s="18" customFormat="1" ht="15">
      <c r="A18" s="418" t="s">
        <v>367</v>
      </c>
      <c r="B18" s="509"/>
      <c r="C18" s="122">
        <f>C16-C17</f>
        <v>3783760.3799999994</v>
      </c>
      <c r="D18" s="510"/>
      <c r="F18" s="22"/>
    </row>
    <row r="19" spans="1:6" s="18" customFormat="1" ht="14.25">
      <c r="A19" s="419" t="s">
        <v>368</v>
      </c>
      <c r="B19" s="509" t="e">
        <f>'(6)Losses Incurred YTD10'!H18</f>
        <v>#REF!</v>
      </c>
      <c r="C19" s="122" t="s">
        <v>288</v>
      </c>
      <c r="D19" s="510"/>
      <c r="F19" s="22"/>
    </row>
    <row r="20" spans="1:6" s="18" customFormat="1" ht="14.25">
      <c r="A20" s="419" t="s">
        <v>369</v>
      </c>
      <c r="B20" s="511">
        <v>5587477</v>
      </c>
      <c r="C20" s="122"/>
      <c r="D20" s="510"/>
      <c r="F20" s="22"/>
    </row>
    <row r="21" spans="1:6" s="18" customFormat="1" ht="14.25">
      <c r="A21" s="419" t="s">
        <v>370</v>
      </c>
      <c r="B21" s="514"/>
      <c r="C21" s="512" t="e">
        <f>B19-B20</f>
        <v>#REF!</v>
      </c>
      <c r="D21" s="510"/>
      <c r="F21" s="22" t="s">
        <v>387</v>
      </c>
    </row>
    <row r="22" spans="1:6" s="18" customFormat="1" ht="15">
      <c r="A22" s="418" t="s">
        <v>371</v>
      </c>
      <c r="B22" s="509"/>
      <c r="C22" s="122"/>
      <c r="D22" s="510" t="e">
        <f>C18+C21</f>
        <v>#REF!</v>
      </c>
      <c r="E22" s="48" t="e">
        <f>+'(6)Losses Incurred YTD10'!H30</f>
        <v>#REF!</v>
      </c>
      <c r="F22" s="22"/>
    </row>
    <row r="23" spans="1:6" s="18" customFormat="1" ht="14.25">
      <c r="A23" s="419" t="s">
        <v>372</v>
      </c>
      <c r="B23" s="509"/>
      <c r="C23" s="122">
        <f>+'[1]TB03-31-04(Final)'!G486</f>
        <v>292907.87</v>
      </c>
      <c r="D23" s="510"/>
      <c r="E23" s="109"/>
      <c r="F23" s="22">
        <v>51200</v>
      </c>
    </row>
    <row r="24" spans="1:6" s="18" customFormat="1" ht="14.25">
      <c r="A24" s="419" t="s">
        <v>373</v>
      </c>
      <c r="B24" s="509"/>
      <c r="C24" s="512">
        <f>+'[1]TB03-31-04(Final)'!G547</f>
        <v>139421.58999999997</v>
      </c>
      <c r="D24" s="510"/>
      <c r="F24" s="22">
        <v>51300</v>
      </c>
    </row>
    <row r="25" spans="1:6" s="18" customFormat="1" ht="15">
      <c r="A25" s="418" t="s">
        <v>374</v>
      </c>
      <c r="B25" s="509"/>
      <c r="C25" s="122">
        <f>C23+C24</f>
        <v>432329.45999999996</v>
      </c>
      <c r="D25" s="510"/>
      <c r="F25" s="22"/>
    </row>
    <row r="26" spans="1:6" s="18" customFormat="1" ht="14.25">
      <c r="A26" s="419" t="s">
        <v>375</v>
      </c>
      <c r="B26" s="509" t="e">
        <f>'(4)Loss Expenses YTD12'!H18</f>
        <v>#REF!</v>
      </c>
      <c r="C26" s="122"/>
      <c r="D26" s="510"/>
      <c r="F26" s="22"/>
    </row>
    <row r="27" spans="1:9" s="18" customFormat="1" ht="14.25">
      <c r="A27" s="419" t="s">
        <v>376</v>
      </c>
      <c r="B27" s="511">
        <v>474837</v>
      </c>
      <c r="C27" s="122"/>
      <c r="D27" s="510"/>
      <c r="F27" s="22"/>
      <c r="I27" s="122">
        <f>31050</f>
        <v>31050</v>
      </c>
    </row>
    <row r="28" spans="1:9" s="18" customFormat="1" ht="14.25">
      <c r="A28" s="419" t="s">
        <v>377</v>
      </c>
      <c r="B28" s="509"/>
      <c r="C28" s="512" t="e">
        <f>B26-B27</f>
        <v>#REF!</v>
      </c>
      <c r="D28" s="510"/>
      <c r="F28" s="22" t="s">
        <v>388</v>
      </c>
      <c r="I28" s="122">
        <f>20347.1</f>
        <v>20347.1</v>
      </c>
    </row>
    <row r="29" spans="1:9" s="18" customFormat="1" ht="15">
      <c r="A29" s="418" t="s">
        <v>378</v>
      </c>
      <c r="B29" s="509"/>
      <c r="C29" s="122"/>
      <c r="D29" s="513" t="e">
        <f>C25+C28</f>
        <v>#REF!</v>
      </c>
      <c r="E29" s="48" t="e">
        <f>+'(4)Loss Expenses YTD12'!H30</f>
        <v>#REF!</v>
      </c>
      <c r="F29" s="22"/>
      <c r="I29" s="122">
        <f>6478.27</f>
        <v>6478.27</v>
      </c>
    </row>
    <row r="30" spans="1:9" s="18" customFormat="1" ht="15">
      <c r="A30" s="418" t="s">
        <v>379</v>
      </c>
      <c r="B30" s="509"/>
      <c r="C30" s="122"/>
      <c r="D30" s="515" t="e">
        <f>D22+D29</f>
        <v>#REF!</v>
      </c>
      <c r="F30" s="22"/>
      <c r="I30" s="122">
        <f>23108.63</f>
        <v>23108.63</v>
      </c>
    </row>
    <row r="31" spans="1:9" s="18" customFormat="1" ht="14.25">
      <c r="A31" s="419" t="s">
        <v>380</v>
      </c>
      <c r="B31" s="509"/>
      <c r="C31" s="122">
        <f>23108.63+6478.27+20347.1+10350+20700+1200+600</f>
        <v>82784</v>
      </c>
      <c r="D31" s="510"/>
      <c r="F31" s="22"/>
      <c r="I31" s="122">
        <f>SUM(I27:I30)</f>
        <v>80984</v>
      </c>
    </row>
    <row r="32" spans="1:6" s="18" customFormat="1" ht="14.25">
      <c r="A32" s="419" t="s">
        <v>381</v>
      </c>
      <c r="B32" s="509">
        <f>+'Balance Sheet-1'!D34</f>
        <v>34955</v>
      </c>
      <c r="C32" s="122"/>
      <c r="D32" s="510"/>
      <c r="F32" s="22">
        <v>24000</v>
      </c>
    </row>
    <row r="33" spans="1:6" s="18" customFormat="1" ht="14.25">
      <c r="A33" s="419" t="s">
        <v>382</v>
      </c>
      <c r="B33" s="511">
        <v>46320</v>
      </c>
      <c r="C33" s="122" t="s">
        <v>288</v>
      </c>
      <c r="D33" s="510"/>
      <c r="F33" s="22"/>
    </row>
    <row r="34" spans="1:6" s="18" customFormat="1" ht="14.25">
      <c r="A34" s="419" t="s">
        <v>383</v>
      </c>
      <c r="B34" s="509"/>
      <c r="C34" s="512">
        <f>B32-B33</f>
        <v>-11365</v>
      </c>
      <c r="D34" s="510"/>
      <c r="F34" s="22"/>
    </row>
    <row r="35" spans="1:6" s="18" customFormat="1" ht="14.25" hidden="1">
      <c r="A35" s="419"/>
      <c r="B35" s="509"/>
      <c r="C35" s="122"/>
      <c r="D35" s="510"/>
      <c r="F35" s="22"/>
    </row>
    <row r="36" spans="1:10" s="18" customFormat="1" ht="15" customHeight="1">
      <c r="A36" s="418" t="s">
        <v>384</v>
      </c>
      <c r="B36" s="509"/>
      <c r="C36" s="122" t="s">
        <v>288</v>
      </c>
      <c r="D36" s="510">
        <f>SUM(C31:C35)</f>
        <v>71419</v>
      </c>
      <c r="E36" s="253">
        <f>+'[1]TB03-31-04(Final)'!G644</f>
        <v>22313.94</v>
      </c>
      <c r="F36" s="22">
        <v>64000</v>
      </c>
      <c r="I36" s="18">
        <v>97598.57</v>
      </c>
      <c r="J36" s="114">
        <f>+D36-I36</f>
        <v>-26179.570000000007</v>
      </c>
    </row>
    <row r="37" spans="1:6" s="18" customFormat="1" ht="13.5" customHeight="1">
      <c r="A37" s="410" t="s">
        <v>127</v>
      </c>
      <c r="B37" s="509"/>
      <c r="C37" s="127"/>
      <c r="D37" s="516">
        <f>+'[1]TB03-31-04(Final)'!G630</f>
        <v>528557.35</v>
      </c>
      <c r="F37" s="22" t="s">
        <v>389</v>
      </c>
    </row>
    <row r="38" spans="1:6" s="18" customFormat="1" ht="13.5" customHeight="1">
      <c r="A38" s="410" t="s">
        <v>243</v>
      </c>
      <c r="B38" s="509"/>
      <c r="C38" s="122">
        <f>+'[1]TB03-31-04(Final)'!G635+'[1]TB03-31-04(Final)'!G639+'[1]TB03-31-04(Final)'!G647</f>
        <v>108491.93</v>
      </c>
      <c r="D38" s="510"/>
      <c r="F38" s="22" t="s">
        <v>390</v>
      </c>
    </row>
    <row r="39" spans="1:9" s="18" customFormat="1" ht="14.25">
      <c r="A39" s="410" t="s">
        <v>173</v>
      </c>
      <c r="B39" s="509"/>
      <c r="C39" s="559">
        <f>+'[1]TB03-31-04(Final)'!G1005-'(8)Earned Incurred YTD6'!C43</f>
        <v>995251.8099999997</v>
      </c>
      <c r="D39" s="510"/>
      <c r="E39" s="120"/>
      <c r="F39" s="22" t="s">
        <v>391</v>
      </c>
      <c r="I39" s="148"/>
    </row>
    <row r="40" spans="1:9" s="18" customFormat="1" ht="15">
      <c r="A40" s="409" t="s">
        <v>174</v>
      </c>
      <c r="B40" s="509"/>
      <c r="C40" s="560">
        <f>SUM(C38:C39)-1</f>
        <v>1103742.7399999998</v>
      </c>
      <c r="D40" s="510"/>
      <c r="E40" s="120"/>
      <c r="F40" s="22"/>
      <c r="I40" s="148"/>
    </row>
    <row r="41" spans="1:6" s="18" customFormat="1" ht="14.25">
      <c r="A41" s="410" t="s">
        <v>381</v>
      </c>
      <c r="B41" s="509">
        <f>-'[1]TB03-31-04(Final)'!G217</f>
        <v>330321.9</v>
      </c>
      <c r="C41" s="122"/>
      <c r="D41" s="510"/>
      <c r="F41" s="22"/>
    </row>
    <row r="42" spans="1:6" s="18" customFormat="1" ht="14.25">
      <c r="A42" s="410" t="s">
        <v>382</v>
      </c>
      <c r="B42" s="511">
        <v>356304</v>
      </c>
      <c r="C42" s="122" t="s">
        <v>288</v>
      </c>
      <c r="D42" s="510"/>
      <c r="F42" s="22"/>
    </row>
    <row r="43" spans="1:6" s="18" customFormat="1" ht="14.25">
      <c r="A43" s="410" t="s">
        <v>175</v>
      </c>
      <c r="B43" s="509"/>
      <c r="C43" s="512">
        <f>B41-B42</f>
        <v>-25982.099999999977</v>
      </c>
      <c r="D43" s="510"/>
      <c r="E43" s="238">
        <f>+C38+C39+C43</f>
        <v>1077761.6399999997</v>
      </c>
      <c r="F43" s="22"/>
    </row>
    <row r="44" spans="1:6" s="18" customFormat="1" ht="15">
      <c r="A44" s="409" t="s">
        <v>242</v>
      </c>
      <c r="B44" s="509"/>
      <c r="C44" s="122"/>
      <c r="D44" s="513">
        <f>SUM(C40:C43)+2</f>
        <v>1077762.6399999997</v>
      </c>
      <c r="E44" s="120"/>
      <c r="F44" s="22"/>
    </row>
    <row r="45" spans="1:6" s="18" customFormat="1" ht="15">
      <c r="A45" s="409" t="s">
        <v>176</v>
      </c>
      <c r="B45" s="509"/>
      <c r="C45" s="122"/>
      <c r="D45" s="558">
        <f>SUM(D36:D44)</f>
        <v>1677738.9899999998</v>
      </c>
      <c r="E45" s="120"/>
      <c r="F45" s="22"/>
    </row>
    <row r="46" spans="1:10" s="18" customFormat="1" ht="30">
      <c r="A46" s="409" t="s">
        <v>177</v>
      </c>
      <c r="B46" s="509"/>
      <c r="C46" s="122"/>
      <c r="D46" s="517" t="e">
        <f>SUM(D30:D44)</f>
        <v>#REF!</v>
      </c>
      <c r="F46" s="22"/>
      <c r="I46" s="18">
        <v>22008562.28</v>
      </c>
      <c r="J46" s="114" t="e">
        <f>+D46-I46</f>
        <v>#REF!</v>
      </c>
    </row>
    <row r="47" spans="1:6" s="18" customFormat="1" ht="15">
      <c r="A47" s="418" t="s">
        <v>50</v>
      </c>
      <c r="B47" s="509"/>
      <c r="C47" s="122"/>
      <c r="D47" s="595" t="e">
        <f>D15-D46</f>
        <v>#REF!</v>
      </c>
      <c r="F47" s="22"/>
    </row>
    <row r="48" spans="1:6" s="18" customFormat="1" ht="14.25">
      <c r="A48" s="419" t="s">
        <v>224</v>
      </c>
      <c r="B48" s="509"/>
      <c r="C48" s="122">
        <f>-'[1]TB03-31-04(Final)'!G356-'[1]TB03-31-04(Final)'!G343-'[1]TB03-31-04(Final)'!F347+'(8)Earned Incurred YTD6'!B50</f>
        <v>44581.64</v>
      </c>
      <c r="D48" s="510"/>
      <c r="F48" s="22" t="s">
        <v>393</v>
      </c>
    </row>
    <row r="49" spans="1:6" s="18" customFormat="1" ht="14.25">
      <c r="A49" s="419" t="s">
        <v>398</v>
      </c>
      <c r="B49" s="509">
        <f>+'[1]TB03-31-04(Final)'!G25</f>
        <v>10038.47</v>
      </c>
      <c r="C49" s="122"/>
      <c r="D49" s="510"/>
      <c r="F49" s="22">
        <v>12150</v>
      </c>
    </row>
    <row r="50" spans="1:6" s="18" customFormat="1" ht="14.25">
      <c r="A50" s="419" t="s">
        <v>399</v>
      </c>
      <c r="B50" s="511">
        <v>17084</v>
      </c>
      <c r="C50" s="122" t="s">
        <v>288</v>
      </c>
      <c r="D50" s="510"/>
      <c r="F50" s="22"/>
    </row>
    <row r="51" spans="1:6" s="18" customFormat="1" ht="15">
      <c r="A51" s="419" t="s">
        <v>400</v>
      </c>
      <c r="B51" s="509"/>
      <c r="C51" s="512">
        <f>B49-B50</f>
        <v>-7045.530000000001</v>
      </c>
      <c r="D51" s="515"/>
      <c r="F51" s="22"/>
    </row>
    <row r="52" spans="1:9" s="18" customFormat="1" ht="15">
      <c r="A52" s="418" t="s">
        <v>225</v>
      </c>
      <c r="B52" s="509"/>
      <c r="C52" s="122"/>
      <c r="D52" s="518">
        <f>C48+C51</f>
        <v>37536.11</v>
      </c>
      <c r="E52" s="253">
        <f>+'[1]TB03-31-04(Final)'!G348</f>
        <v>-29950.73</v>
      </c>
      <c r="F52" s="22" t="s">
        <v>392</v>
      </c>
      <c r="I52" s="148"/>
    </row>
    <row r="53" spans="1:10" s="18" customFormat="1" ht="15">
      <c r="A53" s="420"/>
      <c r="B53" s="530"/>
      <c r="C53" s="357"/>
      <c r="D53" s="534"/>
      <c r="F53" s="22"/>
      <c r="J53" s="114"/>
    </row>
    <row r="54" spans="1:9" s="18" customFormat="1" ht="15">
      <c r="A54" s="421" t="s">
        <v>51</v>
      </c>
      <c r="B54" s="532"/>
      <c r="C54" s="533"/>
      <c r="D54" s="535" t="e">
        <f>D47+D52</f>
        <v>#REF!</v>
      </c>
      <c r="F54" s="22" t="s">
        <v>52</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4.25">
      <c r="A57" s="972"/>
      <c r="B57" s="973"/>
      <c r="C57" s="973"/>
      <c r="D57" s="973"/>
      <c r="F57" s="22"/>
      <c r="J57" s="114"/>
    </row>
    <row r="58" spans="1:6" s="18" customFormat="1" ht="15">
      <c r="A58" s="144"/>
      <c r="B58" s="536"/>
      <c r="C58" s="537"/>
      <c r="D58" s="537"/>
      <c r="F58" s="22"/>
    </row>
    <row r="59" spans="1:6" s="18" customFormat="1" ht="15">
      <c r="A59" s="961" t="s">
        <v>103</v>
      </c>
      <c r="B59" s="961"/>
      <c r="C59" s="961"/>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3"/>
      <c r="C85" s="357"/>
      <c r="D85" s="493"/>
      <c r="F85" s="22"/>
    </row>
    <row r="86" spans="1:6" s="18" customFormat="1" ht="14.25">
      <c r="A86" s="47"/>
      <c r="B86" s="493"/>
      <c r="C86" s="493"/>
      <c r="D86" s="493"/>
      <c r="F86" s="22"/>
    </row>
    <row r="87" spans="1:6" s="18" customFormat="1" ht="14.25">
      <c r="A87" s="47"/>
      <c r="B87" s="493"/>
      <c r="C87" s="493"/>
      <c r="D87" s="493"/>
      <c r="F87" s="22"/>
    </row>
    <row r="88" spans="1:6" s="18" customFormat="1" ht="14.25">
      <c r="A88" s="47"/>
      <c r="B88" s="493"/>
      <c r="C88" s="493"/>
      <c r="D88" s="493"/>
      <c r="F88" s="22"/>
    </row>
    <row r="89" spans="1:6" s="18" customFormat="1" ht="14.25">
      <c r="A89" s="47"/>
      <c r="B89" s="493"/>
      <c r="C89" s="493"/>
      <c r="D89" s="493"/>
      <c r="F89" s="22"/>
    </row>
    <row r="90" spans="1:6" s="18" customFormat="1" ht="14.25">
      <c r="A90" s="47"/>
      <c r="B90" s="493"/>
      <c r="C90" s="493"/>
      <c r="D90" s="493"/>
      <c r="F90" s="22"/>
    </row>
    <row r="91" spans="1:6" s="18" customFormat="1" ht="14.25">
      <c r="A91" s="47"/>
      <c r="B91" s="493"/>
      <c r="C91" s="493"/>
      <c r="D91" s="493"/>
      <c r="F91" s="22"/>
    </row>
    <row r="92" spans="1:6" s="18" customFormat="1" ht="14.25">
      <c r="A92" s="47"/>
      <c r="B92" s="493"/>
      <c r="C92" s="493"/>
      <c r="D92" s="493"/>
      <c r="F92" s="22"/>
    </row>
    <row r="93" spans="1:6" s="18" customFormat="1" ht="14.25">
      <c r="A93" s="47"/>
      <c r="B93" s="493"/>
      <c r="C93" s="493"/>
      <c r="D93" s="493"/>
      <c r="F93" s="22"/>
    </row>
    <row r="94" spans="1:6" s="18" customFormat="1" ht="14.25">
      <c r="A94" s="47"/>
      <c r="B94" s="493"/>
      <c r="C94" s="493"/>
      <c r="D94" s="493"/>
      <c r="F94" s="22"/>
    </row>
    <row r="95" spans="1:6" s="18" customFormat="1" ht="14.25">
      <c r="A95" s="47"/>
      <c r="B95" s="493"/>
      <c r="C95" s="493"/>
      <c r="D95" s="493"/>
      <c r="F95" s="22"/>
    </row>
    <row r="96" spans="1:6" s="18" customFormat="1" ht="14.25">
      <c r="A96" s="47"/>
      <c r="B96" s="493"/>
      <c r="C96" s="493"/>
      <c r="D96" s="493"/>
      <c r="F96" s="22"/>
    </row>
    <row r="97" spans="1:6" s="18" customFormat="1" ht="14.25">
      <c r="A97" s="47"/>
      <c r="B97" s="493"/>
      <c r="C97" s="493"/>
      <c r="D97" s="493"/>
      <c r="F97" s="22"/>
    </row>
    <row r="98" spans="1:6" s="18" customFormat="1" ht="14.25">
      <c r="A98" s="47"/>
      <c r="B98" s="493"/>
      <c r="C98" s="493"/>
      <c r="D98" s="493"/>
      <c r="F98" s="22"/>
    </row>
    <row r="99" spans="1:6" s="18" customFormat="1" ht="14.25">
      <c r="A99" s="47"/>
      <c r="B99" s="493"/>
      <c r="C99" s="493"/>
      <c r="D99" s="493"/>
      <c r="F99" s="22"/>
    </row>
    <row r="100" spans="1:6" s="18" customFormat="1" ht="14.25">
      <c r="A100" s="47"/>
      <c r="B100" s="493"/>
      <c r="C100" s="493"/>
      <c r="D100" s="493"/>
      <c r="F100" s="22"/>
    </row>
    <row r="101" spans="1:6" s="18" customFormat="1" ht="14.25">
      <c r="A101" s="47"/>
      <c r="B101" s="493"/>
      <c r="C101" s="493"/>
      <c r="D101" s="493"/>
      <c r="F101" s="22"/>
    </row>
    <row r="102" spans="1:6" s="18" customFormat="1" ht="14.25">
      <c r="A102" s="47"/>
      <c r="B102" s="493"/>
      <c r="C102" s="493"/>
      <c r="D102" s="493"/>
      <c r="F102" s="22"/>
    </row>
    <row r="103" spans="1:6" s="18" customFormat="1" ht="14.25">
      <c r="A103" s="47"/>
      <c r="B103" s="493"/>
      <c r="C103" s="493"/>
      <c r="D103" s="493"/>
      <c r="F103" s="22"/>
    </row>
    <row r="104" spans="1:6" s="18" customFormat="1" ht="14.25">
      <c r="A104" s="47"/>
      <c r="B104" s="493"/>
      <c r="C104" s="493"/>
      <c r="D104" s="493"/>
      <c r="F104" s="22"/>
    </row>
    <row r="105" spans="1:6" s="18" customFormat="1" ht="14.25">
      <c r="A105" s="47"/>
      <c r="B105" s="542"/>
      <c r="C105" s="493"/>
      <c r="D105" s="54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IK1:IN1"/>
    <mergeCell ref="IO1:IR1"/>
    <mergeCell ref="IS1:IV1"/>
    <mergeCell ref="HU1:HX1"/>
    <mergeCell ref="HY1:IB1"/>
    <mergeCell ref="IC1:IF1"/>
    <mergeCell ref="IG1:IJ1"/>
    <mergeCell ref="HE1:HH1"/>
    <mergeCell ref="HI1:HL1"/>
    <mergeCell ref="HM1:HP1"/>
    <mergeCell ref="HQ1:HT1"/>
    <mergeCell ref="GO1:GR1"/>
    <mergeCell ref="GS1:GV1"/>
    <mergeCell ref="GW1:GZ1"/>
    <mergeCell ref="HA1:HD1"/>
    <mergeCell ref="FY1:GB1"/>
    <mergeCell ref="GC1:GF1"/>
    <mergeCell ref="GG1:GJ1"/>
    <mergeCell ref="GK1:GN1"/>
    <mergeCell ref="FI1:FL1"/>
    <mergeCell ref="FM1:FP1"/>
    <mergeCell ref="FQ1:FT1"/>
    <mergeCell ref="FU1:FX1"/>
    <mergeCell ref="ES1:EV1"/>
    <mergeCell ref="EW1:EZ1"/>
    <mergeCell ref="FA1:FD1"/>
    <mergeCell ref="FE1:FH1"/>
    <mergeCell ref="EC1:EF1"/>
    <mergeCell ref="EG1:EJ1"/>
    <mergeCell ref="EK1:EN1"/>
    <mergeCell ref="EO1:ER1"/>
    <mergeCell ref="DM1:DP1"/>
    <mergeCell ref="DQ1:DT1"/>
    <mergeCell ref="DU1:DX1"/>
    <mergeCell ref="DY1:EB1"/>
    <mergeCell ref="CW1:CZ1"/>
    <mergeCell ref="DA1:DD1"/>
    <mergeCell ref="DE1:DH1"/>
    <mergeCell ref="DI1:DL1"/>
    <mergeCell ref="CG1:CJ1"/>
    <mergeCell ref="CK1:CN1"/>
    <mergeCell ref="CO1:CR1"/>
    <mergeCell ref="CS1:CV1"/>
    <mergeCell ref="BQ1:BT1"/>
    <mergeCell ref="BU1:BX1"/>
    <mergeCell ref="BY1:CB1"/>
    <mergeCell ref="CC1:CF1"/>
    <mergeCell ref="BA1:BD1"/>
    <mergeCell ref="BE1:BH1"/>
    <mergeCell ref="BI1:BL1"/>
    <mergeCell ref="BM1:BP1"/>
    <mergeCell ref="AK1:AN1"/>
    <mergeCell ref="AO1:AR1"/>
    <mergeCell ref="AS1:AV1"/>
    <mergeCell ref="AW1:AZ1"/>
    <mergeCell ref="U1:X1"/>
    <mergeCell ref="Y1:AB1"/>
    <mergeCell ref="AC1:AF1"/>
    <mergeCell ref="AG1:AJ1"/>
    <mergeCell ref="E1:H1"/>
    <mergeCell ref="M1:P1"/>
    <mergeCell ref="Q1:T1"/>
    <mergeCell ref="A57:D57"/>
    <mergeCell ref="A59:C59"/>
    <mergeCell ref="A5:D5"/>
    <mergeCell ref="A1:D1"/>
    <mergeCell ref="A2:D2"/>
    <mergeCell ref="A3:D3"/>
    <mergeCell ref="A4:D4"/>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5.5">
      <c r="A1" s="436" t="s">
        <v>278</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401</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30">
      <c r="A7" s="443"/>
      <c r="B7" s="444" t="s">
        <v>70</v>
      </c>
      <c r="C7" s="444" t="s">
        <v>74</v>
      </c>
      <c r="D7" s="444" t="s">
        <v>170</v>
      </c>
      <c r="E7" s="444" t="s">
        <v>240</v>
      </c>
      <c r="F7" s="444" t="s">
        <v>125</v>
      </c>
      <c r="G7" s="445" t="s">
        <v>279</v>
      </c>
      <c r="H7" s="584"/>
    </row>
    <row r="8" spans="1:7" ht="15.75">
      <c r="A8" s="446" t="s">
        <v>402</v>
      </c>
      <c r="B8" s="447"/>
      <c r="C8" s="447"/>
      <c r="D8" s="447"/>
      <c r="E8" s="447"/>
      <c r="F8" s="447"/>
      <c r="G8" s="447"/>
    </row>
    <row r="9" spans="1:8" s="99" customFormat="1" ht="15">
      <c r="A9" s="447" t="s">
        <v>471</v>
      </c>
      <c r="B9" s="472">
        <f>-SUM('[1]TB03-31-04(Final)'!F297)</f>
        <v>91475</v>
      </c>
      <c r="C9" s="472">
        <f>-SUM('[1]TB03-31-04(Final)'!F296)</f>
        <v>-3288</v>
      </c>
      <c r="D9" s="472">
        <f>-SUM('[1]TB03-31-04(Final)'!F295)</f>
        <v>0</v>
      </c>
      <c r="E9" s="548">
        <f>-SUM('[1]TB03-31-04(Final)'!F294)</f>
        <v>0</v>
      </c>
      <c r="F9" s="126">
        <f>-SUM('[1]TB03-31-04(Final)'!F293)</f>
        <v>0</v>
      </c>
      <c r="G9" s="543">
        <f>SUM(B9:F9)</f>
        <v>88187</v>
      </c>
      <c r="H9" s="586"/>
    </row>
    <row r="10" spans="1:8" ht="15.75">
      <c r="A10" s="447" t="s">
        <v>416</v>
      </c>
      <c r="B10" s="126">
        <f>-SUM('[1]TB03-31-04(Final)'!F306)</f>
        <v>27184</v>
      </c>
      <c r="C10" s="126">
        <f>-SUM('[1]TB03-31-04(Final)'!F305)</f>
        <v>-791</v>
      </c>
      <c r="D10" s="126">
        <f>-SUM('[1]TB03-31-04(Final)'!F304)</f>
        <v>0</v>
      </c>
      <c r="E10" s="126">
        <f>-SUM('[1]TB03-31-04(Final)'!F303)</f>
        <v>0</v>
      </c>
      <c r="F10" s="126">
        <f>-SUM('[1]TB03-31-04(Final)'!F302)</f>
        <v>0</v>
      </c>
      <c r="G10" s="546">
        <f>SUM(B10:F10)</f>
        <v>26393</v>
      </c>
      <c r="H10" s="586"/>
    </row>
    <row r="11" spans="1:22" ht="15.75">
      <c r="A11" s="447" t="s">
        <v>417</v>
      </c>
      <c r="B11" s="126">
        <f>-'[1]TB03-31-04(Final)'!F315</f>
        <v>-19</v>
      </c>
      <c r="C11" s="126">
        <f>-'[1]TB03-31-04(Final)'!F314</f>
        <v>1</v>
      </c>
      <c r="D11" s="126">
        <v>0</v>
      </c>
      <c r="E11" s="126" t="e">
        <f>-'[1]TB03-31-04(Final)'!F310</f>
        <v>#REF!</v>
      </c>
      <c r="F11" s="126" t="e">
        <f>-'[1]TB03-31-04(Final)'!F311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406</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6" t="s">
        <v>198</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471</v>
      </c>
      <c r="B15" s="126">
        <f>-'[1]TB03-31-04(Final)'!F51</f>
        <v>4674519</v>
      </c>
      <c r="C15" s="126">
        <f>-'[1]TB03-31-04(Final)'!F50</f>
        <v>0</v>
      </c>
      <c r="D15" s="126">
        <f>-'[1]TB03-31-04(Final)'!F49</f>
        <v>0</v>
      </c>
      <c r="E15" s="126" t="e">
        <f>-'[1]TB03-31-04(Final)'!F48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416</v>
      </c>
      <c r="B16" s="126">
        <f>-'[1]TB03-31-04(Final)'!F57</f>
        <v>1490507</v>
      </c>
      <c r="C16" s="126">
        <f>-'[1]TB03-31-04(Final)'!F56</f>
        <v>0</v>
      </c>
      <c r="D16" s="126">
        <f>-'[1]TB03-31-04(Final)'!F55</f>
        <v>0</v>
      </c>
      <c r="E16" s="126" t="e">
        <f>-'[1]TB03-31-04(Final)'!F54</f>
        <v>#REF!</v>
      </c>
      <c r="F16" s="126" t="e">
        <f>-'[1]TB03-31-04(Final)'!F53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417</v>
      </c>
      <c r="B17" s="126">
        <f>-'[1]TB03-31-04(Final)'!F63</f>
        <v>19657</v>
      </c>
      <c r="C17" s="126">
        <f>-'[1]TB03-31-04(Final)'!F62</f>
        <v>0</v>
      </c>
      <c r="D17" s="126">
        <f>-'[1]TB03-31-04(Final)'!F61</f>
        <v>0</v>
      </c>
      <c r="E17" s="126" t="e">
        <f>-'[1]TB03-31-04(Final)'!F60</f>
        <v>#REF!</v>
      </c>
      <c r="F17" s="126" t="e">
        <f>-'[1]TB03-31-04(Final)'!F59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406</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6" t="s">
        <v>230</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471</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416</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417</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406</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407</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428</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44</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429</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406</v>
      </c>
      <c r="B30" s="544">
        <f aca="true" t="shared" si="5" ref="B30:G30">SUM(B27:B29)</f>
        <v>-6066043</v>
      </c>
      <c r="C30" s="544">
        <f t="shared" si="5"/>
        <v>8893048</v>
      </c>
      <c r="D30" s="544">
        <f t="shared" si="5"/>
        <v>0</v>
      </c>
      <c r="E30" s="544" t="e">
        <f t="shared" si="5"/>
        <v>#REF!</v>
      </c>
      <c r="F30" s="551" t="e">
        <f t="shared" si="5"/>
        <v>#REF!</v>
      </c>
      <c r="G30" s="545" t="e">
        <f t="shared" si="5"/>
        <v>#REF!</v>
      </c>
      <c r="H30" s="344">
        <f>+'[1]TB03-31-04(Final)'!G338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4"/>
      <c r="B32" s="755"/>
      <c r="C32" s="755"/>
      <c r="D32" s="755"/>
      <c r="E32" s="755"/>
      <c r="F32" s="755"/>
      <c r="G32" s="755"/>
      <c r="H32" s="755"/>
    </row>
    <row r="33" spans="1:8" s="757" customFormat="1" ht="15" customHeight="1">
      <c r="A33" s="974" t="s">
        <v>458</v>
      </c>
      <c r="B33" s="974"/>
      <c r="C33" s="974"/>
      <c r="D33" s="974"/>
      <c r="E33" s="974"/>
      <c r="F33" s="974"/>
      <c r="G33" s="974"/>
      <c r="H33" s="974"/>
    </row>
    <row r="34" spans="1:8" s="757" customFormat="1" ht="12.75">
      <c r="A34" s="974"/>
      <c r="B34" s="974"/>
      <c r="C34" s="974"/>
      <c r="D34" s="974"/>
      <c r="E34" s="974"/>
      <c r="F34" s="974"/>
      <c r="G34" s="974"/>
      <c r="H34" s="974"/>
    </row>
    <row r="35" spans="1:8" s="757" customFormat="1" ht="12.75">
      <c r="A35" s="974"/>
      <c r="B35" s="974"/>
      <c r="C35" s="974"/>
      <c r="D35" s="974"/>
      <c r="E35" s="974"/>
      <c r="F35" s="974"/>
      <c r="G35" s="974"/>
      <c r="H35" s="974"/>
    </row>
    <row r="36" spans="1:8" s="757" customFormat="1" ht="12.75">
      <c r="A36" s="756"/>
      <c r="B36" s="756"/>
      <c r="C36" s="756"/>
      <c r="D36" s="756"/>
      <c r="E36" s="756"/>
      <c r="F36" s="756"/>
      <c r="G36" s="756"/>
      <c r="H36" s="756"/>
    </row>
    <row r="37" spans="2:4" s="757" customFormat="1" ht="12" customHeight="1">
      <c r="B37" s="758"/>
      <c r="C37" s="975" t="s">
        <v>459</v>
      </c>
      <c r="D37" s="975" t="s">
        <v>460</v>
      </c>
    </row>
    <row r="38" spans="2:4" s="757" customFormat="1" ht="12" customHeight="1">
      <c r="B38" s="759" t="s">
        <v>344</v>
      </c>
      <c r="C38" s="975"/>
      <c r="D38" s="975"/>
    </row>
    <row r="39" spans="1:7" s="757" customFormat="1" ht="12" customHeight="1">
      <c r="A39" s="760" t="s">
        <v>461</v>
      </c>
      <c r="B39" s="763">
        <v>478783</v>
      </c>
      <c r="C39" s="763">
        <v>1343200</v>
      </c>
      <c r="D39" s="763">
        <f>B39+C39</f>
        <v>1821983</v>
      </c>
      <c r="E39" s="761"/>
      <c r="F39" s="761"/>
      <c r="G39" s="761"/>
    </row>
    <row r="40" spans="1:7" s="757" customFormat="1" ht="12" customHeight="1">
      <c r="A40" s="760" t="s">
        <v>63</v>
      </c>
      <c r="B40" s="764">
        <v>487924</v>
      </c>
      <c r="C40" s="764">
        <v>1418672</v>
      </c>
      <c r="D40" s="764">
        <f>B40+C40</f>
        <v>1906596</v>
      </c>
      <c r="E40" s="761"/>
      <c r="F40" s="761"/>
      <c r="G40" s="761"/>
    </row>
    <row r="41" spans="1:7" s="757" customFormat="1" ht="12" customHeight="1">
      <c r="A41" s="760" t="s">
        <v>232</v>
      </c>
      <c r="B41" s="764">
        <v>509815</v>
      </c>
      <c r="C41" s="764">
        <v>1518349</v>
      </c>
      <c r="D41" s="764">
        <f>B41+C41</f>
        <v>2028164</v>
      </c>
      <c r="E41" s="761"/>
      <c r="F41" s="761"/>
      <c r="G41" s="761"/>
    </row>
    <row r="42" spans="1:7" s="757" customFormat="1" ht="12" customHeight="1">
      <c r="A42" s="760" t="s">
        <v>33</v>
      </c>
      <c r="B42" s="764">
        <v>508338</v>
      </c>
      <c r="C42" s="764">
        <v>1585267</v>
      </c>
      <c r="D42" s="764">
        <f>B42+C42</f>
        <v>2093605</v>
      </c>
      <c r="E42" s="761"/>
      <c r="F42" s="761"/>
      <c r="G42" s="761"/>
    </row>
    <row r="43" spans="1:7" s="757" customFormat="1" ht="12" customHeight="1" thickBot="1">
      <c r="A43" s="760" t="s">
        <v>89</v>
      </c>
      <c r="B43" s="765">
        <f>SUM(B39:B42)</f>
        <v>1984860</v>
      </c>
      <c r="C43" s="765">
        <f>SUM(C39:C42)</f>
        <v>5865488</v>
      </c>
      <c r="D43" s="765">
        <f>SUM(D39:D42)</f>
        <v>7850348</v>
      </c>
      <c r="E43" s="761"/>
      <c r="F43" s="761"/>
      <c r="G43" s="761"/>
    </row>
    <row r="44" spans="1:7" s="757" customFormat="1" ht="12" customHeight="1" thickTop="1">
      <c r="A44" s="760"/>
      <c r="B44" s="762"/>
      <c r="C44" s="762"/>
      <c r="D44" s="762"/>
      <c r="E44" s="761"/>
      <c r="F44" s="761"/>
      <c r="G44" s="761"/>
    </row>
    <row r="45" spans="1:8" s="757" customFormat="1" ht="12.75">
      <c r="A45" s="974" t="s">
        <v>462</v>
      </c>
      <c r="B45" s="974"/>
      <c r="C45" s="974"/>
      <c r="D45" s="974"/>
      <c r="E45" s="974"/>
      <c r="F45" s="974"/>
      <c r="G45" s="974"/>
      <c r="H45" s="974"/>
    </row>
    <row r="46" spans="1:8" s="757" customFormat="1" ht="12.75">
      <c r="A46" s="974"/>
      <c r="B46" s="974"/>
      <c r="C46" s="974"/>
      <c r="D46" s="974"/>
      <c r="E46" s="974"/>
      <c r="F46" s="974"/>
      <c r="G46" s="974"/>
      <c r="H46" s="974"/>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8.xml><?xml version="1.0" encoding="utf-8"?>
<worksheet xmlns="http://schemas.openxmlformats.org/spreadsheetml/2006/main" xmlns:r="http://schemas.openxmlformats.org/officeDocument/2006/relationships">
  <dimension ref="A1:E36"/>
  <sheetViews>
    <sheetView zoomScale="75" zoomScaleNormal="75" workbookViewId="0" topLeftCell="A1">
      <selection activeCell="A1" sqref="A1:E1"/>
    </sheetView>
  </sheetViews>
  <sheetFormatPr defaultColWidth="9.140625" defaultRowHeight="15" customHeight="1"/>
  <cols>
    <col min="1" max="1" width="50.7109375" style="18" customWidth="1"/>
    <col min="2" max="3" width="20.7109375" style="127" customWidth="1"/>
    <col min="4" max="16384" width="15.7109375" style="18" customWidth="1"/>
  </cols>
  <sheetData>
    <row r="1" spans="1:5" s="117" customFormat="1" ht="30" customHeight="1">
      <c r="A1" s="958" t="s">
        <v>278</v>
      </c>
      <c r="B1" s="958"/>
      <c r="C1" s="958"/>
      <c r="D1" s="958"/>
      <c r="E1" s="958"/>
    </row>
    <row r="2" spans="1:3" s="20" customFormat="1" ht="15" customHeight="1">
      <c r="A2" s="956"/>
      <c r="B2" s="956"/>
      <c r="C2" s="956"/>
    </row>
    <row r="3" spans="1:5" s="21" customFormat="1" ht="15" customHeight="1">
      <c r="A3" s="976" t="s">
        <v>296</v>
      </c>
      <c r="B3" s="976"/>
      <c r="C3" s="976"/>
      <c r="D3" s="976"/>
      <c r="E3" s="976"/>
    </row>
    <row r="4" spans="1:5" s="21" customFormat="1" ht="15" customHeight="1">
      <c r="A4" s="977" t="s">
        <v>16</v>
      </c>
      <c r="B4" s="977"/>
      <c r="C4" s="977"/>
      <c r="D4" s="977"/>
      <c r="E4" s="977"/>
    </row>
    <row r="5" spans="1:3" s="21" customFormat="1" ht="15" customHeight="1">
      <c r="A5" s="378"/>
      <c r="B5" s="379"/>
      <c r="C5" s="379"/>
    </row>
    <row r="6" spans="1:3" ht="15" customHeight="1">
      <c r="A6" s="369"/>
      <c r="B6" s="884" t="s">
        <v>231</v>
      </c>
      <c r="C6" s="885"/>
    </row>
    <row r="7" spans="1:3" ht="15" customHeight="1">
      <c r="A7" s="369"/>
      <c r="B7" s="812"/>
      <c r="C7" s="813"/>
    </row>
    <row r="8" spans="1:3" ht="15" customHeight="1">
      <c r="A8" s="814" t="s">
        <v>298</v>
      </c>
      <c r="B8" s="812"/>
      <c r="C8" s="815"/>
    </row>
    <row r="9" spans="1:3" ht="15" customHeight="1">
      <c r="A9" s="814"/>
      <c r="B9" s="812"/>
      <c r="C9" s="815"/>
    </row>
    <row r="10" spans="1:3" ht="15" customHeight="1">
      <c r="A10" s="369" t="s">
        <v>299</v>
      </c>
      <c r="B10" s="380"/>
      <c r="C10" s="561">
        <f>'Earned Incurred QTD-4'!$D$16</f>
        <v>4216654.85</v>
      </c>
    </row>
    <row r="11" spans="1:3" ht="15" customHeight="1">
      <c r="A11" s="814"/>
      <c r="B11" s="380"/>
      <c r="C11" s="816"/>
    </row>
    <row r="12" spans="1:3" ht="15" customHeight="1">
      <c r="A12" s="814" t="s">
        <v>300</v>
      </c>
      <c r="B12" s="380"/>
      <c r="C12" s="816"/>
    </row>
    <row r="13" spans="1:3" ht="15" customHeight="1">
      <c r="A13" s="369" t="s">
        <v>301</v>
      </c>
      <c r="B13" s="127">
        <f>'Earned Incurred QTD-4'!$D$23</f>
        <v>3069257.3400000003</v>
      </c>
      <c r="C13" s="816"/>
    </row>
    <row r="14" spans="1:3" ht="15" customHeight="1">
      <c r="A14" s="369" t="s">
        <v>302</v>
      </c>
      <c r="B14" s="127">
        <f>'Earned Incurred QTD-4'!$D$30</f>
        <v>348252.83</v>
      </c>
      <c r="C14" s="816"/>
    </row>
    <row r="15" spans="1:3" ht="15" customHeight="1">
      <c r="A15" s="369" t="s">
        <v>303</v>
      </c>
      <c r="B15" s="127">
        <f>'Earned Incurred QTD-4'!$C$37</f>
        <v>319719</v>
      </c>
      <c r="C15" s="816"/>
    </row>
    <row r="16" spans="1:4" ht="15" customHeight="1">
      <c r="A16" s="369" t="s">
        <v>304</v>
      </c>
      <c r="B16" s="127">
        <f>'Earned Incurred QTD-4'!C38+'Earned Incurred QTD-4'!C39+'Earned Incurred QTD-4'!C43</f>
        <v>1213039</v>
      </c>
      <c r="C16" s="816"/>
      <c r="D16" s="114"/>
    </row>
    <row r="17" spans="1:3" ht="15" customHeight="1">
      <c r="A17" s="369" t="s">
        <v>126</v>
      </c>
      <c r="B17" s="145">
        <f>'Earned Incurred QTD-4'!D36</f>
        <v>8039.780000000001</v>
      </c>
      <c r="C17" s="816"/>
    </row>
    <row r="18" spans="1:3" ht="15" customHeight="1">
      <c r="A18" s="369" t="s">
        <v>487</v>
      </c>
      <c r="B18" s="380"/>
      <c r="C18" s="488">
        <f>SUM(B13:B17)</f>
        <v>4958307.95</v>
      </c>
    </row>
    <row r="19" spans="1:3" ht="15" customHeight="1">
      <c r="A19" s="369"/>
      <c r="B19" s="380"/>
      <c r="C19" s="489"/>
    </row>
    <row r="20" spans="1:3" ht="15" customHeight="1">
      <c r="A20" s="369" t="s">
        <v>1</v>
      </c>
      <c r="B20" s="380"/>
      <c r="C20" s="916">
        <f>C10-C18</f>
        <v>-741653.1000000006</v>
      </c>
    </row>
    <row r="21" spans="1:3" ht="15" customHeight="1">
      <c r="A21" s="814"/>
      <c r="B21" s="380"/>
      <c r="C21" s="489"/>
    </row>
    <row r="22" spans="1:3" ht="15" customHeight="1">
      <c r="A22" s="814" t="s">
        <v>306</v>
      </c>
      <c r="B22" s="380"/>
      <c r="C22" s="489"/>
    </row>
    <row r="23" spans="1:3" ht="15" customHeight="1">
      <c r="A23" s="369" t="s">
        <v>72</v>
      </c>
      <c r="B23" s="380"/>
      <c r="C23" s="488">
        <f>'Earned Incurred QTD-4'!D52</f>
        <v>160147</v>
      </c>
    </row>
    <row r="24" spans="1:3" ht="15" customHeight="1">
      <c r="A24" s="369"/>
      <c r="B24" s="380"/>
      <c r="C24" s="489"/>
    </row>
    <row r="25" spans="1:3" ht="15" customHeight="1" thickBot="1">
      <c r="A25" s="369" t="s">
        <v>2</v>
      </c>
      <c r="B25" s="380"/>
      <c r="C25" s="917">
        <f>C20+C23</f>
        <v>-581506.1000000006</v>
      </c>
    </row>
    <row r="26" spans="1:3" ht="15" customHeight="1">
      <c r="A26" s="814"/>
      <c r="B26" s="380"/>
      <c r="C26" s="641"/>
    </row>
    <row r="27" spans="1:3" ht="15" customHeight="1">
      <c r="A27" s="814" t="s">
        <v>294</v>
      </c>
      <c r="B27" s="380"/>
      <c r="C27" s="489"/>
    </row>
    <row r="28" spans="1:3" ht="15" customHeight="1">
      <c r="A28" s="369" t="s">
        <v>71</v>
      </c>
      <c r="B28" s="380"/>
      <c r="C28" s="916">
        <f>-137491.34+1</f>
        <v>-137490.34</v>
      </c>
    </row>
    <row r="29" spans="1:3" ht="15" customHeight="1">
      <c r="A29" s="369" t="s">
        <v>3</v>
      </c>
      <c r="B29" s="918">
        <f>C25</f>
        <v>-581506.1000000006</v>
      </c>
      <c r="C29" s="489"/>
    </row>
    <row r="30" spans="1:4" ht="15" customHeight="1">
      <c r="A30" s="369" t="s">
        <v>309</v>
      </c>
      <c r="B30" s="145">
        <v>64104.29</v>
      </c>
      <c r="C30" s="489"/>
      <c r="D30" s="114"/>
    </row>
    <row r="31" spans="3:5" ht="14.25">
      <c r="C31" s="489"/>
      <c r="D31" s="127"/>
      <c r="E31" s="127"/>
    </row>
    <row r="32" spans="1:3" ht="15" customHeight="1">
      <c r="A32" s="369" t="s">
        <v>310</v>
      </c>
      <c r="C32" s="916">
        <f>SUM(B29:B32)</f>
        <v>-517401.8100000006</v>
      </c>
    </row>
    <row r="33" spans="1:3" ht="15" customHeight="1">
      <c r="A33" s="369"/>
      <c r="C33" s="817"/>
    </row>
    <row r="34" spans="1:3" ht="15" customHeight="1" thickBot="1">
      <c r="A34" s="818" t="s">
        <v>25</v>
      </c>
      <c r="B34" s="380"/>
      <c r="C34" s="919">
        <f>C28+C32</f>
        <v>-654892.1500000006</v>
      </c>
    </row>
    <row r="35" spans="2:3" s="14" customFormat="1" ht="15" customHeight="1" thickTop="1">
      <c r="B35" s="256"/>
      <c r="C35" s="127"/>
    </row>
    <row r="36" ht="15" customHeight="1">
      <c r="C36" s="347"/>
    </row>
    <row r="39"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88"/>
  <sheetViews>
    <sheetView zoomScale="75" zoomScaleNormal="75" workbookViewId="0" topLeftCell="A1">
      <selection activeCell="A36" sqref="A36"/>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78" t="s">
        <v>278</v>
      </c>
      <c r="B1" s="978"/>
      <c r="C1" s="978"/>
      <c r="D1" s="978"/>
      <c r="E1" s="978"/>
      <c r="F1" s="978"/>
      <c r="G1" s="978"/>
    </row>
    <row r="2" spans="1:7" s="27" customFormat="1" ht="15" customHeight="1">
      <c r="A2" s="979"/>
      <c r="B2" s="979"/>
      <c r="C2" s="979"/>
      <c r="D2" s="979"/>
      <c r="E2" s="979"/>
      <c r="F2" s="979"/>
      <c r="G2" s="979"/>
    </row>
    <row r="3" spans="1:7" s="773" customFormat="1" ht="15" customHeight="1">
      <c r="A3" s="980" t="s">
        <v>311</v>
      </c>
      <c r="B3" s="980"/>
      <c r="C3" s="980"/>
      <c r="D3" s="980"/>
      <c r="E3" s="980"/>
      <c r="F3" s="980"/>
      <c r="G3" s="980"/>
    </row>
    <row r="4" spans="1:7" s="773" customFormat="1" ht="15" customHeight="1">
      <c r="A4" s="980" t="s">
        <v>4</v>
      </c>
      <c r="B4" s="980"/>
      <c r="C4" s="980"/>
      <c r="D4" s="980"/>
      <c r="E4" s="980"/>
      <c r="F4" s="980"/>
      <c r="G4" s="980"/>
    </row>
    <row r="5" spans="1:7" s="29" customFormat="1" ht="15" customHeight="1">
      <c r="A5" s="381"/>
      <c r="B5" s="795"/>
      <c r="C5" s="795"/>
      <c r="D5" s="796"/>
      <c r="E5" s="797"/>
      <c r="F5" s="797"/>
      <c r="G5" s="798"/>
    </row>
    <row r="6" spans="1:7" s="776" customFormat="1" ht="30" customHeight="1">
      <c r="A6" s="819"/>
      <c r="B6" s="902" t="s">
        <v>8</v>
      </c>
      <c r="C6" s="902" t="s">
        <v>490</v>
      </c>
      <c r="D6" s="902" t="s">
        <v>28</v>
      </c>
      <c r="E6" s="902" t="s">
        <v>489</v>
      </c>
      <c r="F6" s="903" t="s">
        <v>9</v>
      </c>
      <c r="G6" s="883" t="s">
        <v>279</v>
      </c>
    </row>
    <row r="7" spans="1:7" s="777" customFormat="1" ht="15" customHeight="1">
      <c r="A7" s="820" t="s">
        <v>313</v>
      </c>
      <c r="B7" s="821"/>
      <c r="C7" s="821"/>
      <c r="D7" s="822"/>
      <c r="E7" s="822"/>
      <c r="F7" s="822"/>
      <c r="G7" s="822"/>
    </row>
    <row r="8" spans="1:7" s="775" customFormat="1" ht="15" customHeight="1">
      <c r="A8" s="823" t="s">
        <v>314</v>
      </c>
      <c r="B8" s="824">
        <f>'Premiums QTD-5'!B12</f>
        <v>3628523</v>
      </c>
      <c r="C8" s="921">
        <f>'Premiums QTD-5'!C12</f>
        <v>43573</v>
      </c>
      <c r="D8" s="921">
        <f>'Premiums QTD-5'!D12</f>
        <v>-7249</v>
      </c>
      <c r="E8" s="825">
        <f>'Premiums QTD-5'!E12</f>
        <v>0</v>
      </c>
      <c r="F8" s="825">
        <f>'Premiums QTD-5'!F12</f>
        <v>0</v>
      </c>
      <c r="G8" s="824">
        <f>SUM(B8:F8)</f>
        <v>3664847</v>
      </c>
    </row>
    <row r="9" spans="1:7" s="775" customFormat="1" ht="15" customHeight="1">
      <c r="A9" s="823" t="s">
        <v>315</v>
      </c>
      <c r="B9" s="825">
        <f>'Earned Incurred QTD-4'!C48</f>
        <v>171854.71000000002</v>
      </c>
      <c r="C9" s="825">
        <v>0</v>
      </c>
      <c r="D9" s="825">
        <v>0</v>
      </c>
      <c r="E9" s="825">
        <v>0</v>
      </c>
      <c r="F9" s="825">
        <v>0</v>
      </c>
      <c r="G9" s="825">
        <f>SUM(B9:F9)</f>
        <v>171854.71000000002</v>
      </c>
    </row>
    <row r="10" spans="1:7" s="775" customFormat="1" ht="15" customHeight="1" thickBot="1">
      <c r="A10" s="826" t="s">
        <v>316</v>
      </c>
      <c r="B10" s="827">
        <f aca="true" t="shared" si="0" ref="B10:G10">SUM(B8:B9)</f>
        <v>3800377.71</v>
      </c>
      <c r="C10" s="922">
        <f t="shared" si="0"/>
        <v>43573</v>
      </c>
      <c r="D10" s="922">
        <f t="shared" si="0"/>
        <v>-7249</v>
      </c>
      <c r="E10" s="828">
        <f t="shared" si="0"/>
        <v>0</v>
      </c>
      <c r="F10" s="828">
        <f t="shared" si="0"/>
        <v>0</v>
      </c>
      <c r="G10" s="829">
        <f t="shared" si="0"/>
        <v>3836701.71</v>
      </c>
    </row>
    <row r="11" spans="1:7" s="775" customFormat="1" ht="15" customHeight="1" thickTop="1">
      <c r="A11" s="826"/>
      <c r="B11" s="830"/>
      <c r="C11" s="830"/>
      <c r="D11" s="830"/>
      <c r="E11" s="825"/>
      <c r="F11" s="825"/>
      <c r="G11" s="825"/>
    </row>
    <row r="12" spans="1:7" s="775" customFormat="1" ht="15" customHeight="1">
      <c r="A12" s="820" t="s">
        <v>317</v>
      </c>
      <c r="B12" s="822"/>
      <c r="C12" s="822"/>
      <c r="D12" s="822"/>
      <c r="E12" s="831"/>
      <c r="F12" s="831"/>
      <c r="G12" s="825"/>
    </row>
    <row r="13" spans="1:7" s="775" customFormat="1" ht="15" customHeight="1">
      <c r="A13" s="826" t="s">
        <v>318</v>
      </c>
      <c r="B13" s="923">
        <f>'Losses Incurred QTD-6'!B12</f>
        <v>32805</v>
      </c>
      <c r="C13" s="923">
        <f>'Losses Incurred QTD-6'!C12</f>
        <v>2458530</v>
      </c>
      <c r="D13" s="923">
        <f>'Losses Incurred QTD-6'!D12</f>
        <v>250210</v>
      </c>
      <c r="E13" s="923">
        <f>'Losses Incurred QTD-6'!E12</f>
        <v>2383</v>
      </c>
      <c r="F13" s="923">
        <f>'Losses Incurred QTD-6'!F12</f>
        <v>35737</v>
      </c>
      <c r="G13" s="825">
        <f>SUM(B13:F13)</f>
        <v>2779665</v>
      </c>
    </row>
    <row r="14" spans="1:7" s="775" customFormat="1" ht="15" customHeight="1">
      <c r="A14" s="826" t="s">
        <v>319</v>
      </c>
      <c r="B14" s="923">
        <f>'[11]Loss Expenses Paid QTD-10'!$C$36</f>
        <v>2771</v>
      </c>
      <c r="C14" s="923">
        <f>'[11]Loss Expenses Paid QTD-10'!$C$30</f>
        <v>139276</v>
      </c>
      <c r="D14" s="923">
        <f>'[11]Loss Expenses Paid QTD-10'!$C$24</f>
        <v>21843</v>
      </c>
      <c r="E14" s="923">
        <f>'[11]Loss Expenses Paid QTD-10'!$C$18</f>
        <v>8263</v>
      </c>
      <c r="F14" s="923">
        <f>'[11]Loss Expenses Paid QTD-10'!$C$12</f>
        <v>4368</v>
      </c>
      <c r="G14" s="825">
        <f aca="true" t="shared" si="1" ref="G14:G20">SUM(B14:F14)</f>
        <v>176521</v>
      </c>
    </row>
    <row r="15" spans="1:7" s="775" customFormat="1" ht="15" customHeight="1">
      <c r="A15" s="826" t="s">
        <v>320</v>
      </c>
      <c r="B15" s="923">
        <f>'[11]Loss Expenses Paid QTD-10'!$I$36</f>
        <v>2031</v>
      </c>
      <c r="C15" s="923">
        <f>'[11]Loss Expenses Paid QTD-10'!$I$30</f>
        <v>152245</v>
      </c>
      <c r="D15" s="923">
        <f>'[11]Loss Expenses Paid QTD-10'!$I$24</f>
        <v>15494</v>
      </c>
      <c r="E15" s="923">
        <f>'[11]Loss Expenses Paid QTD-10'!$I$18</f>
        <v>148</v>
      </c>
      <c r="F15" s="923">
        <f>'[11]Loss Expenses Paid QTD-10'!$I$12</f>
        <v>2540</v>
      </c>
      <c r="G15" s="825">
        <f>SUM(B15:F15)</f>
        <v>172458</v>
      </c>
    </row>
    <row r="16" spans="1:7" s="775" customFormat="1" ht="15" customHeight="1">
      <c r="A16" s="826" t="s">
        <v>321</v>
      </c>
      <c r="B16" s="825">
        <f>'[12]1Q08 Trial Balance'!$D$436</f>
        <v>16578</v>
      </c>
      <c r="C16" s="825">
        <v>0</v>
      </c>
      <c r="D16" s="825">
        <v>0</v>
      </c>
      <c r="E16" s="825">
        <v>0</v>
      </c>
      <c r="F16" s="825">
        <v>0</v>
      </c>
      <c r="G16" s="825">
        <f t="shared" si="1"/>
        <v>16578</v>
      </c>
    </row>
    <row r="17" spans="1:8" s="775" customFormat="1" ht="15" customHeight="1">
      <c r="A17" s="832" t="s">
        <v>322</v>
      </c>
      <c r="B17" s="825">
        <f>'[12]1Q08 Trial Balance'!$D$442</f>
        <v>29428</v>
      </c>
      <c r="C17" s="825">
        <v>0</v>
      </c>
      <c r="D17" s="825">
        <v>0</v>
      </c>
      <c r="E17" s="825">
        <v>0</v>
      </c>
      <c r="F17" s="825">
        <v>0</v>
      </c>
      <c r="G17" s="825">
        <f t="shared" si="1"/>
        <v>29428</v>
      </c>
      <c r="H17" s="779"/>
    </row>
    <row r="18" spans="1:8" s="775" customFormat="1" ht="15" customHeight="1">
      <c r="A18" s="826" t="s">
        <v>324</v>
      </c>
      <c r="B18" s="825">
        <f>'[12]1Q08 Trial Balance'!$D$438</f>
        <v>3713</v>
      </c>
      <c r="C18" s="825">
        <v>0</v>
      </c>
      <c r="D18" s="825">
        <v>0</v>
      </c>
      <c r="E18" s="825">
        <v>0</v>
      </c>
      <c r="F18" s="825">
        <v>0</v>
      </c>
      <c r="G18" s="825">
        <f t="shared" si="1"/>
        <v>3713</v>
      </c>
      <c r="H18" s="779"/>
    </row>
    <row r="19" spans="1:7" s="775" customFormat="1" ht="15" customHeight="1">
      <c r="A19" s="832" t="s">
        <v>323</v>
      </c>
      <c r="B19" s="825">
        <f>'[12]1Q08 Trial Balance'!$D$431</f>
        <v>316370</v>
      </c>
      <c r="C19" s="825">
        <f>'[12]1Q08 Trial Balance'!$D$427</f>
        <v>4023</v>
      </c>
      <c r="D19" s="923">
        <f>'[12]1Q08 Trial Balance'!$D$423</f>
        <v>-674</v>
      </c>
      <c r="E19" s="825">
        <v>0</v>
      </c>
      <c r="F19" s="825">
        <v>0</v>
      </c>
      <c r="G19" s="825">
        <f t="shared" si="1"/>
        <v>319719</v>
      </c>
    </row>
    <row r="20" spans="1:8" s="775" customFormat="1" ht="15" customHeight="1">
      <c r="A20" s="826" t="s">
        <v>325</v>
      </c>
      <c r="B20" s="825">
        <f>'Earned Incurred QTD-4'!$C$39</f>
        <v>1128573.54</v>
      </c>
      <c r="C20" s="825">
        <v>0</v>
      </c>
      <c r="D20" s="825">
        <v>0</v>
      </c>
      <c r="E20" s="825">
        <v>0</v>
      </c>
      <c r="F20" s="825">
        <v>0</v>
      </c>
      <c r="G20" s="825">
        <f t="shared" si="1"/>
        <v>1128573.54</v>
      </c>
      <c r="H20" s="779"/>
    </row>
    <row r="21" spans="1:8" s="775" customFormat="1" ht="15" customHeight="1">
      <c r="A21" s="826" t="s">
        <v>124</v>
      </c>
      <c r="B21" s="825">
        <v>22678.73</v>
      </c>
      <c r="C21" s="923">
        <v>-7016.66</v>
      </c>
      <c r="D21" s="825">
        <v>0</v>
      </c>
      <c r="E21" s="825">
        <v>0</v>
      </c>
      <c r="F21" s="825">
        <v>0</v>
      </c>
      <c r="G21" s="825">
        <f>SUM(B21:F21)</f>
        <v>15662.07</v>
      </c>
      <c r="H21" s="779"/>
    </row>
    <row r="22" spans="1:8" s="775" customFormat="1" ht="15" customHeight="1" thickBot="1">
      <c r="A22" s="826" t="s">
        <v>316</v>
      </c>
      <c r="B22" s="922">
        <f>SUM(B13:B21)+1</f>
        <v>1554949.27</v>
      </c>
      <c r="C22" s="922">
        <f>SUM(C13:C21)</f>
        <v>2747057.34</v>
      </c>
      <c r="D22" s="922">
        <f>SUM(D13:D21)</f>
        <v>286873</v>
      </c>
      <c r="E22" s="922">
        <f>SUM(E13:E21)</f>
        <v>10794</v>
      </c>
      <c r="F22" s="922">
        <f>SUM(F13:F21)</f>
        <v>42645</v>
      </c>
      <c r="G22" s="829">
        <f>SUM(G13:G21)</f>
        <v>4642317.61</v>
      </c>
      <c r="H22" s="778"/>
    </row>
    <row r="23" spans="1:7" s="775" customFormat="1" ht="15" customHeight="1" thickTop="1">
      <c r="A23" s="826"/>
      <c r="B23" s="830"/>
      <c r="C23" s="830"/>
      <c r="D23" s="830"/>
      <c r="E23" s="825"/>
      <c r="F23" s="825"/>
      <c r="G23" s="825"/>
    </row>
    <row r="24" spans="1:7" s="775" customFormat="1" ht="15" customHeight="1" thickBot="1">
      <c r="A24" s="833" t="s">
        <v>326</v>
      </c>
      <c r="B24" s="924">
        <f>B10-B22+1</f>
        <v>2245429.44</v>
      </c>
      <c r="C24" s="924">
        <f>C10-C22</f>
        <v>-2703484.34</v>
      </c>
      <c r="D24" s="924">
        <f>D10-D22</f>
        <v>-294122</v>
      </c>
      <c r="E24" s="924">
        <f>E10-E22</f>
        <v>-10794</v>
      </c>
      <c r="F24" s="924">
        <f>F10-F22</f>
        <v>-42645</v>
      </c>
      <c r="G24" s="929">
        <f>SUM(B24:F24)</f>
        <v>-805615.8999999999</v>
      </c>
    </row>
    <row r="25" spans="1:7" s="775" customFormat="1" ht="15" customHeight="1" thickTop="1">
      <c r="A25" s="826"/>
      <c r="B25" s="830"/>
      <c r="C25" s="830"/>
      <c r="D25" s="830"/>
      <c r="E25" s="825"/>
      <c r="F25" s="825"/>
      <c r="G25" s="825"/>
    </row>
    <row r="26" spans="1:7" s="775" customFormat="1" ht="15" customHeight="1">
      <c r="A26" s="820" t="s">
        <v>327</v>
      </c>
      <c r="B26" s="822"/>
      <c r="C26" s="822"/>
      <c r="D26" s="822"/>
      <c r="E26" s="831"/>
      <c r="F26" s="831"/>
      <c r="G26" s="825"/>
    </row>
    <row r="27" spans="1:7" s="775" customFormat="1" ht="15" customHeight="1">
      <c r="A27" s="826" t="s">
        <v>328</v>
      </c>
      <c r="B27" s="825">
        <v>0</v>
      </c>
      <c r="C27" s="825">
        <f>'Earned Incurred QTD-4'!B50</f>
        <v>94328.71</v>
      </c>
      <c r="D27" s="825">
        <v>0</v>
      </c>
      <c r="E27" s="825">
        <v>0</v>
      </c>
      <c r="F27" s="825">
        <v>0</v>
      </c>
      <c r="G27" s="825">
        <f>SUM(B27:F27)</f>
        <v>94328.71</v>
      </c>
    </row>
    <row r="28" spans="1:8" s="775" customFormat="1" ht="15" customHeight="1">
      <c r="A28" s="826" t="s">
        <v>329</v>
      </c>
      <c r="B28" s="825">
        <f>'Balance Sheet-1'!$D$14</f>
        <v>906626.5499999999</v>
      </c>
      <c r="C28" s="825">
        <v>0</v>
      </c>
      <c r="D28" s="825">
        <v>0</v>
      </c>
      <c r="E28" s="825">
        <v>0</v>
      </c>
      <c r="F28" s="825">
        <v>0</v>
      </c>
      <c r="G28" s="825">
        <f>SUM(B28:F28)</f>
        <v>906626.5499999999</v>
      </c>
      <c r="H28" s="779"/>
    </row>
    <row r="29" spans="1:7" s="775" customFormat="1" ht="15" customHeight="1" thickBot="1">
      <c r="A29" s="826" t="s">
        <v>316</v>
      </c>
      <c r="B29" s="828">
        <f>SUM(B27:B28)</f>
        <v>906626.5499999999</v>
      </c>
      <c r="C29" s="828">
        <f>SUM(C27:C28)</f>
        <v>94328.71</v>
      </c>
      <c r="D29" s="828">
        <f>SUM(D27:D28)</f>
        <v>0</v>
      </c>
      <c r="E29" s="828">
        <f>SUM(E27:E28)</f>
        <v>0</v>
      </c>
      <c r="F29" s="828">
        <f>SUM(F27:F28)</f>
        <v>0</v>
      </c>
      <c r="G29" s="829">
        <f>SUM(G27:G28)+1</f>
        <v>1000956.2599999999</v>
      </c>
    </row>
    <row r="30" spans="1:7" s="775" customFormat="1" ht="15" customHeight="1" thickTop="1">
      <c r="A30" s="826"/>
      <c r="B30" s="830"/>
      <c r="C30" s="830"/>
      <c r="D30" s="830"/>
      <c r="E30" s="825"/>
      <c r="F30" s="825"/>
      <c r="G30" s="825"/>
    </row>
    <row r="31" spans="1:7" s="775" customFormat="1" ht="15" customHeight="1">
      <c r="A31" s="820" t="s">
        <v>330</v>
      </c>
      <c r="B31" s="822"/>
      <c r="C31" s="822"/>
      <c r="D31" s="822"/>
      <c r="E31" s="831"/>
      <c r="F31" s="831"/>
      <c r="G31" s="825"/>
    </row>
    <row r="32" spans="1:7" s="775" customFormat="1" ht="15" customHeight="1">
      <c r="A32" s="826" t="s">
        <v>331</v>
      </c>
      <c r="B32" s="825">
        <f>'Earned Incurred QTD-4'!B49</f>
        <v>82621</v>
      </c>
      <c r="C32" s="825">
        <v>0</v>
      </c>
      <c r="D32" s="825">
        <v>0</v>
      </c>
      <c r="E32" s="825">
        <v>0</v>
      </c>
      <c r="F32" s="825">
        <v>0</v>
      </c>
      <c r="G32" s="825">
        <f>SUM(B32:F32)</f>
        <v>82621</v>
      </c>
    </row>
    <row r="33" spans="1:9" s="775" customFormat="1" ht="15" customHeight="1">
      <c r="A33" s="826" t="s">
        <v>332</v>
      </c>
      <c r="B33" s="825">
        <v>0</v>
      </c>
      <c r="C33" s="825">
        <f>970731.84-1</f>
        <v>970730.84</v>
      </c>
      <c r="D33" s="825">
        <v>0</v>
      </c>
      <c r="E33" s="825">
        <v>0</v>
      </c>
      <c r="F33" s="825">
        <v>0</v>
      </c>
      <c r="G33" s="825">
        <f>SUM(B33:F33)</f>
        <v>970730.84</v>
      </c>
      <c r="H33" s="779"/>
      <c r="I33" s="779"/>
    </row>
    <row r="34" spans="1:8" s="775" customFormat="1" ht="15" customHeight="1" thickBot="1">
      <c r="A34" s="826" t="s">
        <v>316</v>
      </c>
      <c r="B34" s="828">
        <f aca="true" t="shared" si="2" ref="B34:G34">SUM(B32:B33)</f>
        <v>82621</v>
      </c>
      <c r="C34" s="828">
        <f t="shared" si="2"/>
        <v>970730.84</v>
      </c>
      <c r="D34" s="828">
        <f t="shared" si="2"/>
        <v>0</v>
      </c>
      <c r="E34" s="828">
        <f t="shared" si="2"/>
        <v>0</v>
      </c>
      <c r="F34" s="828">
        <f t="shared" si="2"/>
        <v>0</v>
      </c>
      <c r="G34" s="829">
        <f t="shared" si="2"/>
        <v>1053351.8399999999</v>
      </c>
      <c r="H34" s="779"/>
    </row>
    <row r="35" spans="1:7" s="775" customFormat="1" ht="15" customHeight="1" thickTop="1">
      <c r="A35" s="826"/>
      <c r="B35" s="830"/>
      <c r="C35" s="830"/>
      <c r="D35" s="830"/>
      <c r="E35" s="825"/>
      <c r="F35" s="825"/>
      <c r="G35" s="834"/>
    </row>
    <row r="36" spans="1:7" s="775" customFormat="1" ht="15" customHeight="1" thickBot="1">
      <c r="A36" s="820" t="s">
        <v>333</v>
      </c>
      <c r="B36" s="924">
        <f>B24-B29+B34-1</f>
        <v>1421422.8900000001</v>
      </c>
      <c r="C36" s="924">
        <f>C24-C29+C34</f>
        <v>-1827082.21</v>
      </c>
      <c r="D36" s="924">
        <f>D24-D29+D34</f>
        <v>-294122</v>
      </c>
      <c r="E36" s="924">
        <f>E24-E29+E34</f>
        <v>-10794</v>
      </c>
      <c r="F36" s="924">
        <f>F24-F29+F34</f>
        <v>-42645</v>
      </c>
      <c r="G36" s="929">
        <f>SUM(B36:F36)</f>
        <v>-753220.3199999998</v>
      </c>
    </row>
    <row r="37" spans="1:7" s="775" customFormat="1" ht="15" customHeight="1" thickTop="1">
      <c r="A37" s="826"/>
      <c r="B37" s="830"/>
      <c r="C37" s="830"/>
      <c r="D37" s="830"/>
      <c r="E37" s="825"/>
      <c r="F37" s="825"/>
      <c r="G37" s="825"/>
    </row>
    <row r="38" spans="1:7" s="775" customFormat="1" ht="15" customHeight="1">
      <c r="A38" s="835" t="s">
        <v>128</v>
      </c>
      <c r="B38" s="836"/>
      <c r="C38" s="836"/>
      <c r="D38" s="836"/>
      <c r="E38" s="825"/>
      <c r="F38" s="825"/>
      <c r="G38" s="825"/>
    </row>
    <row r="39" spans="1:7" s="775" customFormat="1" ht="15" customHeight="1">
      <c r="A39" s="826" t="s">
        <v>291</v>
      </c>
      <c r="B39" s="825">
        <f>'Premiums QTD-5'!B18</f>
        <v>3159056</v>
      </c>
      <c r="C39" s="825">
        <f>'Premiums QTD-5'!C18</f>
        <v>4696269</v>
      </c>
      <c r="D39" s="825">
        <f>'Premiums QTD-5'!D18</f>
        <v>0</v>
      </c>
      <c r="E39" s="825">
        <f>'Premiums QTD-5'!E18</f>
        <v>0</v>
      </c>
      <c r="F39" s="825">
        <f>'Premiums QTD-5'!F18</f>
        <v>0</v>
      </c>
      <c r="G39" s="825">
        <f>SUM(B39:F39)</f>
        <v>7855325</v>
      </c>
    </row>
    <row r="40" spans="1:7" s="775" customFormat="1" ht="15" customHeight="1">
      <c r="A40" s="826" t="s">
        <v>334</v>
      </c>
      <c r="B40" s="825">
        <f>'Losses Incurred QTD-6'!B18+'Losses Incurred QTD-6'!B24</f>
        <v>261475</v>
      </c>
      <c r="C40" s="825">
        <f>'Losses Incurred QTD-6'!C18+'Losses Incurred QTD-6'!C24</f>
        <v>3531244</v>
      </c>
      <c r="D40" s="825">
        <f>'Losses Incurred QTD-6'!D18+'Losses Incurred QTD-6'!D24</f>
        <v>302310</v>
      </c>
      <c r="E40" s="825">
        <f>'Losses Incurred QTD-6'!E18+'Losses Incurred QTD-6'!E24</f>
        <v>51005</v>
      </c>
      <c r="F40" s="825">
        <f>'Losses Incurred QTD-6'!F18+'Losses Incurred QTD-6'!F24</f>
        <v>108981</v>
      </c>
      <c r="G40" s="825">
        <f>SUM(B40:F40)</f>
        <v>4255015</v>
      </c>
    </row>
    <row r="41" spans="1:7" s="775" customFormat="1" ht="15" customHeight="1">
      <c r="A41" s="826" t="s">
        <v>335</v>
      </c>
      <c r="B41" s="825">
        <f>'Loss Expenses QTD-7'!B18</f>
        <v>21243</v>
      </c>
      <c r="C41" s="825">
        <f>'Loss Expenses QTD-7'!C18</f>
        <v>327405</v>
      </c>
      <c r="D41" s="825">
        <f>'Loss Expenses QTD-7'!D18</f>
        <v>82573</v>
      </c>
      <c r="E41" s="825">
        <f>'Loss Expenses QTD-7'!E18</f>
        <v>18977</v>
      </c>
      <c r="F41" s="825">
        <f>'Loss Expenses QTD-7'!F18</f>
        <v>11717</v>
      </c>
      <c r="G41" s="825">
        <f>SUM(B41:F41)</f>
        <v>461915</v>
      </c>
    </row>
    <row r="42" spans="1:7" s="775" customFormat="1" ht="15" customHeight="1">
      <c r="A42" s="826" t="s">
        <v>336</v>
      </c>
      <c r="B42" s="825">
        <f>'Earned Incurred QTD-4'!B41</f>
        <v>223062</v>
      </c>
      <c r="C42" s="825">
        <v>0</v>
      </c>
      <c r="D42" s="825">
        <v>0</v>
      </c>
      <c r="E42" s="825">
        <v>0</v>
      </c>
      <c r="F42" s="825">
        <v>0</v>
      </c>
      <c r="G42" s="825">
        <f>SUM(B42:F42)</f>
        <v>223062</v>
      </c>
    </row>
    <row r="43" spans="1:7" s="775" customFormat="1" ht="15" customHeight="1">
      <c r="A43" s="826" t="s">
        <v>337</v>
      </c>
      <c r="B43" s="825">
        <f>'Earned Incurred QTD-4'!B33</f>
        <v>34955</v>
      </c>
      <c r="C43" s="825">
        <v>0</v>
      </c>
      <c r="D43" s="825">
        <v>0</v>
      </c>
      <c r="E43" s="825">
        <v>0</v>
      </c>
      <c r="F43" s="825">
        <v>0</v>
      </c>
      <c r="G43" s="825">
        <f>SUM(B43:F43)</f>
        <v>34955</v>
      </c>
    </row>
    <row r="44" spans="1:7" s="775" customFormat="1" ht="15" customHeight="1" thickBot="1">
      <c r="A44" s="837" t="s">
        <v>316</v>
      </c>
      <c r="B44" s="828">
        <f aca="true" t="shared" si="3" ref="B44:G44">SUM(B39:B43)</f>
        <v>3699791</v>
      </c>
      <c r="C44" s="828">
        <f t="shared" si="3"/>
        <v>8554918</v>
      </c>
      <c r="D44" s="828">
        <f t="shared" si="3"/>
        <v>384883</v>
      </c>
      <c r="E44" s="828">
        <f t="shared" si="3"/>
        <v>69982</v>
      </c>
      <c r="F44" s="828">
        <f t="shared" si="3"/>
        <v>120698</v>
      </c>
      <c r="G44" s="829">
        <f t="shared" si="3"/>
        <v>12830272</v>
      </c>
    </row>
    <row r="45" spans="1:7" s="775" customFormat="1" ht="15" customHeight="1" thickTop="1">
      <c r="A45" s="826"/>
      <c r="B45" s="830"/>
      <c r="C45" s="830"/>
      <c r="D45" s="830"/>
      <c r="E45" s="825"/>
      <c r="F45" s="825"/>
      <c r="G45" s="825"/>
    </row>
    <row r="46" spans="1:7" s="775" customFormat="1" ht="15" customHeight="1">
      <c r="A46" s="835" t="s">
        <v>129</v>
      </c>
      <c r="B46" s="836"/>
      <c r="C46" s="836"/>
      <c r="D46" s="836"/>
      <c r="E46" s="825"/>
      <c r="F46" s="825"/>
      <c r="G46" s="825"/>
    </row>
    <row r="47" spans="1:7" s="775" customFormat="1" ht="15" customHeight="1">
      <c r="A47" s="826" t="s">
        <v>291</v>
      </c>
      <c r="B47" s="825">
        <f>'Premiums QTD-5'!B24</f>
        <v>0</v>
      </c>
      <c r="C47" s="825">
        <f>'Premiums QTD-5'!C24</f>
        <v>8407132.85</v>
      </c>
      <c r="D47" s="825">
        <f>'Premiums QTD-5'!D24</f>
        <v>0</v>
      </c>
      <c r="E47" s="825">
        <f>'Premiums QTD-5'!E24</f>
        <v>0</v>
      </c>
      <c r="F47" s="825">
        <f>'Premiums QTD-5'!F24</f>
        <v>0</v>
      </c>
      <c r="G47" s="825">
        <f>SUM(B47:F47)</f>
        <v>8407132.85</v>
      </c>
    </row>
    <row r="48" spans="1:7" s="775" customFormat="1" ht="15" customHeight="1">
      <c r="A48" s="826" t="s">
        <v>334</v>
      </c>
      <c r="B48" s="825">
        <f>'Losses Incurred QTD-6'!B31</f>
        <v>0</v>
      </c>
      <c r="C48" s="825">
        <f>'Losses Incurred QTD-6'!C31</f>
        <v>2856832.11</v>
      </c>
      <c r="D48" s="825">
        <f>'Losses Incurred QTD-6'!D31</f>
        <v>883223.19</v>
      </c>
      <c r="E48" s="825">
        <f>'Losses Incurred QTD-6'!E31</f>
        <v>69896.36</v>
      </c>
      <c r="F48" s="825">
        <f>'Losses Incurred QTD-6'!F31</f>
        <v>155472</v>
      </c>
      <c r="G48" s="825">
        <f>SUM(B48:F48)-1</f>
        <v>3965422.6599999997</v>
      </c>
    </row>
    <row r="49" spans="1:7" s="775" customFormat="1" ht="15" customHeight="1">
      <c r="A49" s="826" t="s">
        <v>338</v>
      </c>
      <c r="B49" s="825">
        <f>'Loss Expenses QTD-7'!B24</f>
        <v>0</v>
      </c>
      <c r="C49" s="825">
        <f>'Loss Expenses QTD-7'!C24</f>
        <v>271824.89999999997</v>
      </c>
      <c r="D49" s="825">
        <f>'Loss Expenses QTD-7'!D24</f>
        <v>147947.80000000002</v>
      </c>
      <c r="E49" s="825">
        <f>'Loss Expenses QTD-7'!E24</f>
        <v>25967.070000000003</v>
      </c>
      <c r="F49" s="825">
        <f>'Loss Expenses QTD-7'!F24</f>
        <v>16901.4</v>
      </c>
      <c r="G49" s="825">
        <f>SUM(B49:F49)</f>
        <v>462641.17</v>
      </c>
    </row>
    <row r="50" spans="1:7" s="775" customFormat="1" ht="15" customHeight="1">
      <c r="A50" s="826" t="s">
        <v>336</v>
      </c>
      <c r="B50" s="825">
        <v>0</v>
      </c>
      <c r="C50" s="825">
        <f>'Earned Incurred QTD-4'!B42</f>
        <v>188315.54</v>
      </c>
      <c r="D50" s="825">
        <v>0</v>
      </c>
      <c r="E50" s="825">
        <v>0</v>
      </c>
      <c r="F50" s="825">
        <v>0</v>
      </c>
      <c r="G50" s="825">
        <f>SUM(B50:F50)</f>
        <v>188315.54</v>
      </c>
    </row>
    <row r="51" spans="1:7" s="775" customFormat="1" ht="15" customHeight="1">
      <c r="A51" s="826" t="s">
        <v>337</v>
      </c>
      <c r="B51" s="825">
        <v>0</v>
      </c>
      <c r="C51" s="825">
        <f>'Earned Incurred QTD-4'!B34</f>
        <v>42577.28</v>
      </c>
      <c r="D51" s="825">
        <v>0</v>
      </c>
      <c r="E51" s="825">
        <v>0</v>
      </c>
      <c r="F51" s="825">
        <v>0</v>
      </c>
      <c r="G51" s="825">
        <f>SUM(B51:F51)</f>
        <v>42577.28</v>
      </c>
    </row>
    <row r="52" spans="1:7" s="775" customFormat="1" ht="15" customHeight="1" thickBot="1">
      <c r="A52" s="826" t="s">
        <v>316</v>
      </c>
      <c r="B52" s="828">
        <f>SUM(B47:B51)</f>
        <v>0</v>
      </c>
      <c r="C52" s="828">
        <f>SUM(C47:C51)</f>
        <v>11766682.679999998</v>
      </c>
      <c r="D52" s="828">
        <f>SUM(D47:D51)</f>
        <v>1031170.99</v>
      </c>
      <c r="E52" s="828">
        <f>SUM(E47:E51)</f>
        <v>95863.43000000001</v>
      </c>
      <c r="F52" s="828">
        <f>SUM(F47:F51)</f>
        <v>172373.4</v>
      </c>
      <c r="G52" s="829">
        <f>SUM(B52:F52)-1</f>
        <v>13066089.499999998</v>
      </c>
    </row>
    <row r="53" spans="1:7" s="775" customFormat="1" ht="15" customHeight="1" thickTop="1">
      <c r="A53" s="826"/>
      <c r="B53" s="830"/>
      <c r="C53" s="830"/>
      <c r="D53" s="830"/>
      <c r="E53" s="830"/>
      <c r="F53" s="830"/>
      <c r="G53" s="485"/>
    </row>
    <row r="54" spans="1:8" s="775" customFormat="1" ht="15" customHeight="1" thickBot="1">
      <c r="A54" s="833" t="s">
        <v>339</v>
      </c>
      <c r="B54" s="925">
        <f>B36-B44+B52</f>
        <v>-2278368.11</v>
      </c>
      <c r="C54" s="925">
        <f>C36-C44+C52+1</f>
        <v>1384683.469999997</v>
      </c>
      <c r="D54" s="925">
        <f>D36-D44+D52</f>
        <v>352165.99</v>
      </c>
      <c r="E54" s="925">
        <f>E36-E44+E52</f>
        <v>15087.430000000008</v>
      </c>
      <c r="F54" s="925">
        <f>F36-F44+F52</f>
        <v>9030.399999999994</v>
      </c>
      <c r="G54" s="925">
        <f>G36-G44+G52+1</f>
        <v>-517401.82000000216</v>
      </c>
      <c r="H54" s="779"/>
    </row>
    <row r="55" spans="1:8" s="775" customFormat="1" ht="15" customHeight="1" thickTop="1">
      <c r="A55" s="778"/>
      <c r="B55" s="779"/>
      <c r="C55" s="779"/>
      <c r="D55" s="799"/>
      <c r="E55" s="799"/>
      <c r="F55" s="799"/>
      <c r="G55" s="799"/>
      <c r="H55" s="779"/>
    </row>
    <row r="56" spans="1:9" s="775" customFormat="1" ht="15" customHeight="1">
      <c r="A56" s="778"/>
      <c r="B56" s="779"/>
      <c r="C56" s="779"/>
      <c r="D56" s="799"/>
      <c r="E56" s="799"/>
      <c r="F56" s="799"/>
      <c r="G56" s="799"/>
      <c r="H56" s="779"/>
      <c r="I56" s="779"/>
    </row>
    <row r="57" spans="1:7" s="775" customFormat="1" ht="15" customHeight="1">
      <c r="A57" s="778"/>
      <c r="B57" s="779"/>
      <c r="C57" s="779"/>
      <c r="D57" s="799"/>
      <c r="E57" s="799"/>
      <c r="F57" s="799"/>
      <c r="G57" s="799"/>
    </row>
    <row r="58" spans="2:7" s="775" customFormat="1" ht="15" customHeight="1">
      <c r="B58" s="779"/>
      <c r="C58" s="779"/>
      <c r="D58" s="799"/>
      <c r="E58" s="799"/>
      <c r="F58" s="799"/>
      <c r="G58" s="799"/>
    </row>
    <row r="59" spans="2:7" s="775" customFormat="1" ht="15" customHeight="1">
      <c r="B59" s="779"/>
      <c r="C59" s="779"/>
      <c r="D59" s="799"/>
      <c r="E59" s="799"/>
      <c r="F59" s="799"/>
      <c r="G59" s="799"/>
    </row>
    <row r="60" spans="2:7" s="775" customFormat="1" ht="15" customHeight="1">
      <c r="B60" s="779"/>
      <c r="C60" s="779"/>
      <c r="D60" s="799"/>
      <c r="E60" s="799"/>
      <c r="F60" s="799"/>
      <c r="G60" s="799"/>
    </row>
    <row r="61" spans="1:7" s="775" customFormat="1" ht="15" customHeight="1">
      <c r="A61" s="777"/>
      <c r="B61" s="800"/>
      <c r="C61" s="800"/>
      <c r="D61" s="799"/>
      <c r="E61" s="799"/>
      <c r="F61" s="799"/>
      <c r="G61" s="799"/>
    </row>
    <row r="62" spans="2:7" s="775" customFormat="1" ht="15" customHeight="1">
      <c r="B62" s="779"/>
      <c r="C62" s="779"/>
      <c r="D62" s="799"/>
      <c r="E62" s="799"/>
      <c r="F62" s="799"/>
      <c r="G62" s="774"/>
    </row>
    <row r="63" spans="2:7" s="775" customFormat="1" ht="15" customHeight="1">
      <c r="B63" s="779"/>
      <c r="C63" s="779"/>
      <c r="D63" s="799"/>
      <c r="E63" s="799"/>
      <c r="F63" s="799"/>
      <c r="G63" s="774"/>
    </row>
    <row r="64" spans="2:7" s="775" customFormat="1" ht="15" customHeight="1">
      <c r="B64" s="779"/>
      <c r="C64" s="779"/>
      <c r="D64" s="799"/>
      <c r="E64" s="799"/>
      <c r="F64" s="799"/>
      <c r="G64" s="774"/>
    </row>
    <row r="65" spans="2:7" s="775" customFormat="1" ht="15" customHeight="1">
      <c r="B65" s="779"/>
      <c r="C65" s="779"/>
      <c r="D65" s="799"/>
      <c r="E65" s="799"/>
      <c r="F65" s="799"/>
      <c r="G65" s="774"/>
    </row>
    <row r="66" spans="2:7" s="775" customFormat="1" ht="15" customHeight="1">
      <c r="B66" s="779"/>
      <c r="C66" s="779"/>
      <c r="D66" s="799"/>
      <c r="E66" s="799"/>
      <c r="F66" s="799"/>
      <c r="G66" s="774"/>
    </row>
    <row r="67" spans="2:7" s="775" customFormat="1" ht="15" customHeight="1">
      <c r="B67" s="779"/>
      <c r="C67" s="779"/>
      <c r="D67" s="799"/>
      <c r="E67" s="799"/>
      <c r="F67" s="799"/>
      <c r="G67" s="774"/>
    </row>
    <row r="68" spans="2:7" s="775" customFormat="1" ht="15" customHeight="1">
      <c r="B68" s="779"/>
      <c r="C68" s="779"/>
      <c r="D68" s="799"/>
      <c r="E68" s="799"/>
      <c r="F68" s="799"/>
      <c r="G68" s="774"/>
    </row>
    <row r="69" spans="2:7" s="775" customFormat="1" ht="15" customHeight="1">
      <c r="B69" s="779"/>
      <c r="C69" s="779"/>
      <c r="D69" s="799"/>
      <c r="E69" s="799"/>
      <c r="F69" s="799"/>
      <c r="G69" s="774"/>
    </row>
    <row r="70" spans="2:7" s="775" customFormat="1" ht="15" customHeight="1">
      <c r="B70" s="779"/>
      <c r="C70" s="779"/>
      <c r="D70" s="799"/>
      <c r="E70" s="799"/>
      <c r="F70" s="799"/>
      <c r="G70" s="774"/>
    </row>
    <row r="71" spans="2:7" s="775" customFormat="1" ht="15" customHeight="1">
      <c r="B71" s="779"/>
      <c r="C71" s="779"/>
      <c r="D71" s="799"/>
      <c r="E71" s="799"/>
      <c r="F71" s="799"/>
      <c r="G71" s="774"/>
    </row>
    <row r="72" spans="2:7" s="775" customFormat="1" ht="15" customHeight="1">
      <c r="B72" s="779"/>
      <c r="C72" s="779"/>
      <c r="D72" s="799"/>
      <c r="E72" s="799"/>
      <c r="F72" s="799"/>
      <c r="G72" s="774"/>
    </row>
    <row r="73" spans="2:7" s="775" customFormat="1" ht="15" customHeight="1">
      <c r="B73" s="779"/>
      <c r="C73" s="779"/>
      <c r="D73" s="799"/>
      <c r="E73" s="799"/>
      <c r="F73" s="799"/>
      <c r="G73" s="774"/>
    </row>
    <row r="74" spans="2:7" s="775" customFormat="1" ht="15" customHeight="1">
      <c r="B74" s="779"/>
      <c r="C74" s="779"/>
      <c r="D74" s="799"/>
      <c r="E74" s="799"/>
      <c r="F74" s="799"/>
      <c r="G74" s="774"/>
    </row>
    <row r="75" spans="2:7" s="775" customFormat="1" ht="15" customHeight="1">
      <c r="B75" s="779"/>
      <c r="C75" s="779"/>
      <c r="D75" s="799"/>
      <c r="E75" s="799"/>
      <c r="F75" s="799"/>
      <c r="G75" s="774"/>
    </row>
    <row r="76" spans="2:7" s="775" customFormat="1" ht="15" customHeight="1">
      <c r="B76" s="779"/>
      <c r="C76" s="779"/>
      <c r="D76" s="799"/>
      <c r="E76" s="799"/>
      <c r="F76" s="799"/>
      <c r="G76" s="774"/>
    </row>
    <row r="77" spans="2:7" s="775" customFormat="1" ht="15" customHeight="1">
      <c r="B77" s="779"/>
      <c r="C77" s="779"/>
      <c r="D77" s="799"/>
      <c r="E77" s="799"/>
      <c r="F77" s="799"/>
      <c r="G77" s="774"/>
    </row>
    <row r="78" spans="2:7" s="775" customFormat="1" ht="15" customHeight="1">
      <c r="B78" s="779"/>
      <c r="C78" s="779"/>
      <c r="D78" s="799"/>
      <c r="E78" s="799"/>
      <c r="F78" s="799"/>
      <c r="G78" s="774"/>
    </row>
    <row r="79" spans="2:7" s="775" customFormat="1" ht="15" customHeight="1">
      <c r="B79" s="779"/>
      <c r="C79" s="779"/>
      <c r="D79" s="799"/>
      <c r="E79" s="799"/>
      <c r="F79" s="799"/>
      <c r="G79" s="774"/>
    </row>
    <row r="80" spans="2:7" s="775" customFormat="1" ht="15" customHeight="1">
      <c r="B80" s="779"/>
      <c r="C80" s="779"/>
      <c r="D80" s="799"/>
      <c r="E80" s="799"/>
      <c r="F80" s="799"/>
      <c r="G80" s="774"/>
    </row>
    <row r="81" spans="2:7" s="775" customFormat="1" ht="15" customHeight="1">
      <c r="B81" s="779"/>
      <c r="C81" s="779"/>
      <c r="D81" s="799"/>
      <c r="E81" s="799"/>
      <c r="F81" s="799"/>
      <c r="G81" s="774"/>
    </row>
    <row r="82" spans="2:7" s="775" customFormat="1" ht="15" customHeight="1">
      <c r="B82" s="779"/>
      <c r="C82" s="779"/>
      <c r="D82" s="799"/>
      <c r="E82" s="799"/>
      <c r="F82" s="799"/>
      <c r="G82" s="774"/>
    </row>
    <row r="83" spans="2:7" s="775" customFormat="1" ht="15" customHeight="1">
      <c r="B83" s="779"/>
      <c r="C83" s="779"/>
      <c r="D83" s="799"/>
      <c r="E83" s="799"/>
      <c r="F83" s="799"/>
      <c r="G83" s="774"/>
    </row>
    <row r="84" spans="2:7" s="775" customFormat="1" ht="15" customHeight="1">
      <c r="B84" s="779"/>
      <c r="C84" s="779"/>
      <c r="D84" s="799"/>
      <c r="E84" s="799"/>
      <c r="F84" s="799"/>
      <c r="G84" s="774"/>
    </row>
    <row r="85" spans="2:7" s="775" customFormat="1" ht="15" customHeight="1">
      <c r="B85" s="779"/>
      <c r="C85" s="779"/>
      <c r="D85" s="799"/>
      <c r="E85" s="799"/>
      <c r="F85" s="799"/>
      <c r="G85" s="774"/>
    </row>
    <row r="86" spans="2:7" s="775" customFormat="1" ht="15" customHeight="1">
      <c r="B86" s="779"/>
      <c r="C86" s="779"/>
      <c r="D86" s="799"/>
      <c r="E86" s="799"/>
      <c r="F86" s="799"/>
      <c r="G86" s="774"/>
    </row>
    <row r="87" spans="2:7" s="775" customFormat="1" ht="15" customHeight="1">
      <c r="B87" s="779"/>
      <c r="C87" s="779"/>
      <c r="D87" s="799"/>
      <c r="E87" s="799"/>
      <c r="F87" s="799"/>
      <c r="G87" s="774"/>
    </row>
    <row r="88" spans="2:7" s="775" customFormat="1" ht="15" customHeight="1">
      <c r="B88" s="779"/>
      <c r="C88" s="779"/>
      <c r="D88" s="799"/>
      <c r="E88" s="799"/>
      <c r="F88" s="799"/>
      <c r="G88" s="774"/>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n</cp:lastModifiedBy>
  <cp:lastPrinted>2008-05-14T17:53:06Z</cp:lastPrinted>
  <dcterms:created xsi:type="dcterms:W3CDTF">1999-07-28T13:02:54Z</dcterms:created>
  <dcterms:modified xsi:type="dcterms:W3CDTF">2008-05-14T17:55:00Z</dcterms:modified>
  <cp:category/>
  <cp:version/>
  <cp:contentType/>
  <cp:contentStatus/>
</cp:coreProperties>
</file>